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diana-my.sharepoint.com/personal/hhavens_iu_edu/Documents/Contract Work/Mental Health and Medicaid/JAMA Health Forum/JAMA HF Revision - Economic Burden of untreated MI/"/>
    </mc:Choice>
  </mc:AlternateContent>
  <xr:revisionPtr revIDLastSave="0" documentId="8_{2697B88A-180D-430A-9A80-823C6DB40B36}" xr6:coauthVersionLast="47" xr6:coauthVersionMax="47" xr10:uidLastSave="{00000000-0000-0000-0000-000000000000}"/>
  <bookViews>
    <workbookView xWindow="52680" yWindow="-120" windowWidth="29040" windowHeight="15840" xr2:uid="{DFB54121-093A-4CC8-905A-2061A4285E81}"/>
  </bookViews>
  <sheets>
    <sheet name="Other MI" sheetId="2" r:id="rId1"/>
    <sheet name="SMI" sheetId="1" r:id="rId2"/>
    <sheet name="Children" sheetId="4" r:id="rId3"/>
    <sheet name="Totals" sheetId="5" r:id="rId4"/>
    <sheet name="OtherMI (LB)" sheetId="6" r:id="rId5"/>
    <sheet name="SMI (LB)" sheetId="8" r:id="rId6"/>
    <sheet name="Children (LB)" sheetId="10" r:id="rId7"/>
    <sheet name="OtherMI (UB)" sheetId="7" r:id="rId8"/>
    <sheet name="SMI (UB)" sheetId="9" r:id="rId9"/>
    <sheet name="Children (UB)" sheetId="11" r:id="rId10"/>
    <sheet name="All totals + uncertainty" sheetId="14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5" i="1" l="1"/>
  <c r="X42" i="1"/>
  <c r="D14" i="2"/>
  <c r="X37" i="8"/>
  <c r="P8" i="1"/>
  <c r="M18" i="1"/>
  <c r="D44" i="2"/>
  <c r="C24" i="5"/>
  <c r="C2" i="5"/>
  <c r="I13" i="5"/>
  <c r="D24" i="5"/>
  <c r="E15" i="5"/>
  <c r="M3" i="14"/>
  <c r="M4" i="14"/>
  <c r="M5" i="14"/>
  <c r="M6" i="14"/>
  <c r="M7" i="14"/>
  <c r="M8" i="14"/>
  <c r="M9" i="14"/>
  <c r="M10" i="14"/>
  <c r="M11" i="14"/>
  <c r="M12" i="14"/>
  <c r="M13" i="14"/>
  <c r="M14" i="14"/>
  <c r="M15" i="14"/>
  <c r="M16" i="14"/>
  <c r="M17" i="14"/>
  <c r="M18" i="14"/>
  <c r="M19" i="14"/>
  <c r="M20" i="14"/>
  <c r="M21" i="14"/>
  <c r="M22" i="14"/>
  <c r="L3" i="14"/>
  <c r="L4" i="14"/>
  <c r="L5" i="14"/>
  <c r="L6" i="14"/>
  <c r="L7" i="14"/>
  <c r="L8" i="14"/>
  <c r="L9" i="14"/>
  <c r="L14" i="14"/>
  <c r="L15" i="14"/>
  <c r="L16" i="14"/>
  <c r="L17" i="14"/>
  <c r="L18" i="14"/>
  <c r="L19" i="14"/>
  <c r="L20" i="14"/>
  <c r="L21" i="14"/>
  <c r="L22" i="14"/>
  <c r="M2" i="14"/>
  <c r="B2" i="14"/>
  <c r="I15" i="5"/>
  <c r="I21" i="5"/>
  <c r="I20" i="5"/>
  <c r="I19" i="5"/>
  <c r="I18" i="5"/>
  <c r="I10" i="5"/>
  <c r="I9" i="5"/>
  <c r="I7" i="5"/>
  <c r="D15" i="5"/>
  <c r="D14" i="5"/>
  <c r="E4" i="5"/>
  <c r="E5" i="5"/>
  <c r="AA14" i="2"/>
  <c r="B4" i="5"/>
  <c r="J9" i="14"/>
  <c r="I9" i="14"/>
  <c r="H9" i="14"/>
  <c r="H4" i="14"/>
  <c r="D13" i="2"/>
  <c r="Z47" i="9"/>
  <c r="Z47" i="1"/>
  <c r="Z48" i="1"/>
  <c r="D58" i="1"/>
  <c r="F10" i="4"/>
  <c r="E10" i="4"/>
  <c r="D10" i="4"/>
  <c r="F10" i="1"/>
  <c r="E10" i="1"/>
  <c r="D10" i="1"/>
  <c r="F16" i="7"/>
  <c r="E16" i="7"/>
  <c r="D16" i="7"/>
  <c r="F16" i="6"/>
  <c r="E16" i="6"/>
  <c r="D16" i="6"/>
  <c r="F16" i="2"/>
  <c r="E16" i="2"/>
  <c r="D16" i="2"/>
  <c r="D9" i="1"/>
  <c r="D9" i="4"/>
  <c r="AA35" i="6"/>
  <c r="AA8" i="9"/>
  <c r="R8" i="9"/>
  <c r="F23" i="9"/>
  <c r="E23" i="9"/>
  <c r="F29" i="7"/>
  <c r="E29" i="7"/>
  <c r="F23" i="8"/>
  <c r="E23" i="8"/>
  <c r="F29" i="6"/>
  <c r="E29" i="6"/>
  <c r="F23" i="1"/>
  <c r="E23" i="1"/>
  <c r="F29" i="2"/>
  <c r="E29" i="2"/>
  <c r="J21" i="14"/>
  <c r="J20" i="14"/>
  <c r="J22" i="14" s="1"/>
  <c r="J15" i="14"/>
  <c r="J14" i="14"/>
  <c r="J16" i="14" s="1"/>
  <c r="J4" i="14"/>
  <c r="J5" i="14" s="1"/>
  <c r="J2" i="14"/>
  <c r="H15" i="14"/>
  <c r="H2" i="14"/>
  <c r="H21" i="14"/>
  <c r="H20" i="14"/>
  <c r="H22" i="14" s="1"/>
  <c r="H14" i="14"/>
  <c r="H5" i="14"/>
  <c r="G21" i="14"/>
  <c r="G20" i="14"/>
  <c r="G18" i="14"/>
  <c r="G17" i="14"/>
  <c r="G19" i="14" s="1"/>
  <c r="G14" i="14"/>
  <c r="G12" i="14"/>
  <c r="G11" i="14"/>
  <c r="G10" i="14"/>
  <c r="G7" i="14"/>
  <c r="G4" i="14"/>
  <c r="F14" i="14"/>
  <c r="E21" i="14"/>
  <c r="E20" i="14"/>
  <c r="E18" i="14"/>
  <c r="E17" i="14"/>
  <c r="E15" i="14"/>
  <c r="K15" i="14" s="1"/>
  <c r="E14" i="14"/>
  <c r="E12" i="14"/>
  <c r="E11" i="14"/>
  <c r="E10" i="14"/>
  <c r="E7" i="14"/>
  <c r="E4" i="14"/>
  <c r="E3" i="14"/>
  <c r="D21" i="14"/>
  <c r="D20" i="14"/>
  <c r="C21" i="14"/>
  <c r="C20" i="14"/>
  <c r="D18" i="14"/>
  <c r="D17" i="14"/>
  <c r="C18" i="14"/>
  <c r="C17" i="14"/>
  <c r="D14" i="14"/>
  <c r="D16" i="14" s="1"/>
  <c r="D12" i="14"/>
  <c r="D11" i="14"/>
  <c r="D10" i="14"/>
  <c r="D7" i="14"/>
  <c r="D4" i="14"/>
  <c r="D3" i="14"/>
  <c r="B21" i="14"/>
  <c r="K21" i="14" s="1"/>
  <c r="B20" i="14"/>
  <c r="K20" i="14" s="1"/>
  <c r="B18" i="14"/>
  <c r="K18" i="14" s="1"/>
  <c r="B17" i="14"/>
  <c r="K17" i="14" s="1"/>
  <c r="B14" i="14"/>
  <c r="K14" i="14" s="1"/>
  <c r="B12" i="14"/>
  <c r="K12" i="14" s="1"/>
  <c r="B11" i="14"/>
  <c r="B10" i="14"/>
  <c r="K10" i="14" s="1"/>
  <c r="B7" i="14"/>
  <c r="K7" i="14" s="1"/>
  <c r="B4" i="14"/>
  <c r="K4" i="14" s="1"/>
  <c r="B16" i="14"/>
  <c r="B3" i="14"/>
  <c r="C3" i="14"/>
  <c r="D19" i="14"/>
  <c r="G13" i="14"/>
  <c r="H16" i="14"/>
  <c r="G22" i="14"/>
  <c r="C19" i="14"/>
  <c r="C14" i="14"/>
  <c r="C16" i="14" s="1"/>
  <c r="C7" i="14"/>
  <c r="C6" i="14"/>
  <c r="C8" i="14" s="1"/>
  <c r="C4" i="14"/>
  <c r="AA55" i="2"/>
  <c r="Z33" i="11"/>
  <c r="X33" i="11"/>
  <c r="AA29" i="11"/>
  <c r="Z29" i="11"/>
  <c r="X29" i="11"/>
  <c r="AA23" i="11"/>
  <c r="AA19" i="11"/>
  <c r="Z19" i="11"/>
  <c r="X14" i="11"/>
  <c r="Z14" i="11" s="1"/>
  <c r="AA14" i="11" s="1"/>
  <c r="AA8" i="11"/>
  <c r="Z8" i="11"/>
  <c r="R8" i="11"/>
  <c r="N8" i="11"/>
  <c r="D36" i="11"/>
  <c r="D27" i="11"/>
  <c r="D26" i="11"/>
  <c r="X23" i="11"/>
  <c r="Z23" i="11" s="1"/>
  <c r="F20" i="11"/>
  <c r="E20" i="11"/>
  <c r="D20" i="11"/>
  <c r="O19" i="11"/>
  <c r="D19" i="11"/>
  <c r="F14" i="11"/>
  <c r="E14" i="11"/>
  <c r="D14" i="11"/>
  <c r="F9" i="11"/>
  <c r="E9" i="11"/>
  <c r="D9" i="11"/>
  <c r="O8" i="11"/>
  <c r="C7" i="11"/>
  <c r="S19" i="11" s="1"/>
  <c r="C6" i="11"/>
  <c r="X33" i="10"/>
  <c r="Z33" i="10" s="1"/>
  <c r="AA33" i="10" s="1"/>
  <c r="X29" i="10"/>
  <c r="Z29" i="10" s="1"/>
  <c r="AA29" i="10" s="1"/>
  <c r="AA23" i="10"/>
  <c r="Z23" i="10"/>
  <c r="X23" i="10"/>
  <c r="AA19" i="10"/>
  <c r="Z19" i="10"/>
  <c r="R19" i="10"/>
  <c r="AA14" i="10"/>
  <c r="Z14" i="10"/>
  <c r="X14" i="10"/>
  <c r="AA8" i="10"/>
  <c r="F14" i="10"/>
  <c r="E14" i="10"/>
  <c r="R8" i="10"/>
  <c r="N8" i="10"/>
  <c r="AA67" i="9"/>
  <c r="Z67" i="9"/>
  <c r="Z63" i="9"/>
  <c r="X67" i="9"/>
  <c r="X63" i="9"/>
  <c r="AA57" i="9"/>
  <c r="Z57" i="9"/>
  <c r="AA53" i="9"/>
  <c r="Z53" i="9"/>
  <c r="AA47" i="9"/>
  <c r="G15" i="14" s="1"/>
  <c r="G16" i="14" s="1"/>
  <c r="S42" i="9"/>
  <c r="R42" i="9"/>
  <c r="Z47" i="8"/>
  <c r="AA47" i="8" s="1"/>
  <c r="O42" i="9"/>
  <c r="AA37" i="9"/>
  <c r="Z37" i="9"/>
  <c r="AA32" i="9"/>
  <c r="Z32" i="9"/>
  <c r="AA27" i="9"/>
  <c r="Z27" i="9"/>
  <c r="S27" i="9"/>
  <c r="O27" i="9"/>
  <c r="AA22" i="9"/>
  <c r="Z22" i="9"/>
  <c r="R22" i="9"/>
  <c r="T22" i="9" s="1"/>
  <c r="N22" i="9"/>
  <c r="P22" i="9" s="1"/>
  <c r="AA18" i="9"/>
  <c r="G6" i="14" s="1"/>
  <c r="Z18" i="9"/>
  <c r="R18" i="9"/>
  <c r="N18" i="9"/>
  <c r="AA12" i="9"/>
  <c r="Z12" i="9"/>
  <c r="R12" i="9"/>
  <c r="N12" i="9"/>
  <c r="T8" i="9"/>
  <c r="N8" i="9"/>
  <c r="P8" i="9"/>
  <c r="Z65" i="7"/>
  <c r="AA65" i="7" s="1"/>
  <c r="X65" i="7"/>
  <c r="X61" i="7"/>
  <c r="Z61" i="7" s="1"/>
  <c r="AA61" i="7" s="1"/>
  <c r="AA55" i="7"/>
  <c r="Z55" i="7"/>
  <c r="AA51" i="7"/>
  <c r="Z51" i="7"/>
  <c r="AA44" i="7"/>
  <c r="S44" i="7"/>
  <c r="O44" i="7"/>
  <c r="AA39" i="7"/>
  <c r="Z39" i="7"/>
  <c r="AA35" i="7"/>
  <c r="Z35" i="7"/>
  <c r="AA30" i="7"/>
  <c r="Z30" i="7"/>
  <c r="S30" i="7"/>
  <c r="O30" i="7"/>
  <c r="AA24" i="7"/>
  <c r="Z24" i="7"/>
  <c r="AA20" i="7"/>
  <c r="D6" i="14" s="1"/>
  <c r="Z20" i="7"/>
  <c r="AA14" i="7"/>
  <c r="Z14" i="7"/>
  <c r="AA8" i="7"/>
  <c r="Z8" i="7"/>
  <c r="F88" i="9"/>
  <c r="E88" i="9"/>
  <c r="D88" i="9"/>
  <c r="D81" i="9"/>
  <c r="D78" i="9" s="1"/>
  <c r="D80" i="9"/>
  <c r="D79" i="9"/>
  <c r="F78" i="9"/>
  <c r="E78" i="9"/>
  <c r="D72" i="9"/>
  <c r="F71" i="9"/>
  <c r="F72" i="9" s="1"/>
  <c r="E71" i="9"/>
  <c r="E72" i="9" s="1"/>
  <c r="D61" i="9"/>
  <c r="D58" i="9"/>
  <c r="F59" i="9" s="1"/>
  <c r="X57" i="9"/>
  <c r="X53" i="9"/>
  <c r="D50" i="9"/>
  <c r="F49" i="9"/>
  <c r="E49" i="9"/>
  <c r="D44" i="9"/>
  <c r="F43" i="9"/>
  <c r="F46" i="9" s="1"/>
  <c r="E43" i="9"/>
  <c r="E46" i="9" s="1"/>
  <c r="D43" i="9"/>
  <c r="D46" i="9" s="1"/>
  <c r="AA42" i="9"/>
  <c r="M42" i="9"/>
  <c r="D62" i="9" s="1"/>
  <c r="F42" i="9"/>
  <c r="E42" i="9"/>
  <c r="F34" i="9"/>
  <c r="F35" i="9" s="1"/>
  <c r="F36" i="9" s="1"/>
  <c r="E34" i="9"/>
  <c r="E35" i="9" s="1"/>
  <c r="E36" i="9" s="1"/>
  <c r="D34" i="9"/>
  <c r="D35" i="9" s="1"/>
  <c r="D36" i="9" s="1"/>
  <c r="R27" i="9"/>
  <c r="N27" i="9"/>
  <c r="E26" i="9"/>
  <c r="D25" i="9"/>
  <c r="D23" i="9"/>
  <c r="S22" i="9"/>
  <c r="O22" i="9"/>
  <c r="D19" i="9"/>
  <c r="S18" i="9"/>
  <c r="O18" i="9"/>
  <c r="M18" i="9"/>
  <c r="T12" i="9"/>
  <c r="S12" i="9"/>
  <c r="P12" i="9"/>
  <c r="V12" i="9" s="1"/>
  <c r="X12" i="9" s="1"/>
  <c r="O12" i="9"/>
  <c r="E9" i="9"/>
  <c r="D9" i="9"/>
  <c r="S8" i="9"/>
  <c r="O8" i="9"/>
  <c r="F8" i="9"/>
  <c r="F9" i="9" s="1"/>
  <c r="E8" i="9"/>
  <c r="F87" i="7"/>
  <c r="E87" i="7"/>
  <c r="D87" i="7"/>
  <c r="D80" i="7"/>
  <c r="D79" i="7" s="1"/>
  <c r="F79" i="7"/>
  <c r="E79" i="7"/>
  <c r="F73" i="7"/>
  <c r="F72" i="7"/>
  <c r="E72" i="7"/>
  <c r="E73" i="7" s="1"/>
  <c r="D72" i="7"/>
  <c r="D73" i="7" s="1"/>
  <c r="F69" i="7"/>
  <c r="E69" i="7"/>
  <c r="D69" i="7"/>
  <c r="D60" i="7"/>
  <c r="D61" i="7" s="1"/>
  <c r="F58" i="7"/>
  <c r="F59" i="7" s="1"/>
  <c r="F57" i="7"/>
  <c r="E57" i="7"/>
  <c r="D56" i="7"/>
  <c r="E58" i="7" s="1"/>
  <c r="E59" i="7" s="1"/>
  <c r="X55" i="7"/>
  <c r="E52" i="7"/>
  <c r="D52" i="7"/>
  <c r="X51" i="7"/>
  <c r="F51" i="7"/>
  <c r="F52" i="7" s="1"/>
  <c r="E51" i="7"/>
  <c r="F49" i="7"/>
  <c r="E49" i="7"/>
  <c r="D49" i="7"/>
  <c r="F48" i="7"/>
  <c r="E48" i="7"/>
  <c r="D43" i="7"/>
  <c r="D44" i="7" s="1"/>
  <c r="F42" i="7"/>
  <c r="F44" i="7" s="1"/>
  <c r="F41" i="7"/>
  <c r="E41" i="7"/>
  <c r="E42" i="7" s="1"/>
  <c r="E44" i="7" s="1"/>
  <c r="E32" i="7"/>
  <c r="D31" i="7"/>
  <c r="M30" i="7"/>
  <c r="N30" i="7" s="1"/>
  <c r="D29" i="7"/>
  <c r="D25" i="7"/>
  <c r="S24" i="7"/>
  <c r="T24" i="7" s="1"/>
  <c r="R24" i="7"/>
  <c r="O24" i="7"/>
  <c r="N24" i="7"/>
  <c r="P24" i="7" s="1"/>
  <c r="D23" i="7"/>
  <c r="S20" i="7"/>
  <c r="M20" i="7"/>
  <c r="N20" i="7" s="1"/>
  <c r="P20" i="7" s="1"/>
  <c r="D19" i="7"/>
  <c r="R14" i="7"/>
  <c r="O14" i="7"/>
  <c r="P14" i="7" s="1"/>
  <c r="N14" i="7"/>
  <c r="F14" i="7"/>
  <c r="F15" i="7" s="1"/>
  <c r="E14" i="7"/>
  <c r="E15" i="7" s="1"/>
  <c r="D14" i="7"/>
  <c r="D13" i="7"/>
  <c r="C13" i="7"/>
  <c r="S14" i="7" s="1"/>
  <c r="T14" i="7" s="1"/>
  <c r="V14" i="7" s="1"/>
  <c r="X14" i="7" s="1"/>
  <c r="D11" i="7"/>
  <c r="D10" i="7"/>
  <c r="D41" i="7" s="1"/>
  <c r="D42" i="7" s="1"/>
  <c r="C10" i="7"/>
  <c r="O20" i="7" s="1"/>
  <c r="S8" i="7"/>
  <c r="R8" i="7"/>
  <c r="T8" i="7" s="1"/>
  <c r="O8" i="7"/>
  <c r="N8" i="7"/>
  <c r="P8" i="7" s="1"/>
  <c r="F8" i="7"/>
  <c r="E8" i="7"/>
  <c r="D8" i="7"/>
  <c r="X67" i="8"/>
  <c r="Z67" i="8"/>
  <c r="AA67" i="8" s="1"/>
  <c r="AA63" i="8"/>
  <c r="Z63" i="8"/>
  <c r="X63" i="8"/>
  <c r="AA53" i="8"/>
  <c r="AA57" i="8"/>
  <c r="Z57" i="8"/>
  <c r="Z53" i="8"/>
  <c r="X53" i="8"/>
  <c r="M42" i="8"/>
  <c r="O42" i="8"/>
  <c r="R42" i="8"/>
  <c r="S42" i="8"/>
  <c r="Z37" i="8"/>
  <c r="AA37" i="8"/>
  <c r="R27" i="8"/>
  <c r="Z32" i="8"/>
  <c r="AA32" i="8" s="1"/>
  <c r="AA27" i="8"/>
  <c r="Z27" i="8"/>
  <c r="S27" i="8"/>
  <c r="T27" i="8" s="1"/>
  <c r="O27" i="8"/>
  <c r="P27" i="8" s="1"/>
  <c r="N27" i="8"/>
  <c r="AA22" i="8"/>
  <c r="Z22" i="8"/>
  <c r="R22" i="8"/>
  <c r="N22" i="8"/>
  <c r="AA18" i="8"/>
  <c r="E6" i="14" s="1"/>
  <c r="E8" i="14" s="1"/>
  <c r="Z18" i="8"/>
  <c r="R18" i="8"/>
  <c r="N18" i="8"/>
  <c r="N12" i="8"/>
  <c r="R12" i="8"/>
  <c r="S8" i="8"/>
  <c r="R8" i="8"/>
  <c r="T8" i="8" s="1"/>
  <c r="O8" i="8"/>
  <c r="N8" i="8"/>
  <c r="X55" i="6"/>
  <c r="AA61" i="6"/>
  <c r="X65" i="6"/>
  <c r="Z65" i="6"/>
  <c r="AA65" i="6" s="1"/>
  <c r="X61" i="6"/>
  <c r="Z61" i="6"/>
  <c r="AA55" i="6"/>
  <c r="AA51" i="6"/>
  <c r="Z55" i="6"/>
  <c r="Z51" i="6"/>
  <c r="X51" i="6"/>
  <c r="AA44" i="6"/>
  <c r="S44" i="6"/>
  <c r="R44" i="6" s="1"/>
  <c r="O44" i="6"/>
  <c r="R30" i="6"/>
  <c r="N30" i="6"/>
  <c r="M30" i="6"/>
  <c r="AA39" i="6"/>
  <c r="Z39" i="6"/>
  <c r="Z35" i="6"/>
  <c r="AA30" i="6"/>
  <c r="Z30" i="6"/>
  <c r="S30" i="6"/>
  <c r="O30" i="6"/>
  <c r="AA24" i="6"/>
  <c r="Z24" i="6"/>
  <c r="N24" i="6"/>
  <c r="AA20" i="6"/>
  <c r="B6" i="14" s="1"/>
  <c r="K6" i="14" s="1"/>
  <c r="Z20" i="6"/>
  <c r="O20" i="6"/>
  <c r="N20" i="6"/>
  <c r="AA14" i="6"/>
  <c r="Z14" i="6"/>
  <c r="R14" i="6"/>
  <c r="N14" i="6"/>
  <c r="Z8" i="2"/>
  <c r="X8" i="2"/>
  <c r="V8" i="2"/>
  <c r="S8" i="2"/>
  <c r="R8" i="2"/>
  <c r="O8" i="2"/>
  <c r="N8" i="2"/>
  <c r="D36" i="10"/>
  <c r="D26" i="10"/>
  <c r="D27" i="10" s="1"/>
  <c r="F20" i="10"/>
  <c r="E20" i="10"/>
  <c r="D20" i="10"/>
  <c r="D19" i="10"/>
  <c r="D14" i="10"/>
  <c r="F9" i="10"/>
  <c r="E9" i="10"/>
  <c r="D9" i="10"/>
  <c r="C7" i="10"/>
  <c r="C6" i="10"/>
  <c r="O8" i="10" s="1"/>
  <c r="F88" i="8"/>
  <c r="E88" i="8"/>
  <c r="D88" i="8"/>
  <c r="D81" i="8"/>
  <c r="D78" i="8" s="1"/>
  <c r="D80" i="8"/>
  <c r="D79" i="8"/>
  <c r="F78" i="8"/>
  <c r="E78" i="8"/>
  <c r="D72" i="8"/>
  <c r="F71" i="8"/>
  <c r="F72" i="8" s="1"/>
  <c r="E71" i="8"/>
  <c r="E72" i="8" s="1"/>
  <c r="D61" i="8"/>
  <c r="E60" i="8"/>
  <c r="E59" i="8"/>
  <c r="D58" i="8"/>
  <c r="D60" i="8" s="1"/>
  <c r="X57" i="8"/>
  <c r="D50" i="8"/>
  <c r="F49" i="8"/>
  <c r="E49" i="8"/>
  <c r="D44" i="8"/>
  <c r="D43" i="8"/>
  <c r="D46" i="8" s="1"/>
  <c r="AA42" i="8"/>
  <c r="D62" i="8"/>
  <c r="F42" i="8"/>
  <c r="F43" i="8" s="1"/>
  <c r="F46" i="8" s="1"/>
  <c r="E42" i="8"/>
  <c r="E43" i="8" s="1"/>
  <c r="E46" i="8" s="1"/>
  <c r="F34" i="8"/>
  <c r="F35" i="8" s="1"/>
  <c r="F36" i="8" s="1"/>
  <c r="E34" i="8"/>
  <c r="E35" i="8" s="1"/>
  <c r="E36" i="8" s="1"/>
  <c r="D34" i="8"/>
  <c r="D35" i="8" s="1"/>
  <c r="D36" i="8" s="1"/>
  <c r="E26" i="8"/>
  <c r="D25" i="8"/>
  <c r="D23" i="8"/>
  <c r="S22" i="8"/>
  <c r="T22" i="8"/>
  <c r="O22" i="8"/>
  <c r="D19" i="8"/>
  <c r="S18" i="8"/>
  <c r="O18" i="8"/>
  <c r="M18" i="8"/>
  <c r="S12" i="8"/>
  <c r="T12" i="8"/>
  <c r="O12" i="8"/>
  <c r="F9" i="8"/>
  <c r="D9" i="8"/>
  <c r="F8" i="8"/>
  <c r="E8" i="8"/>
  <c r="E9" i="8" s="1"/>
  <c r="F87" i="6"/>
  <c r="E87" i="6"/>
  <c r="D87" i="6"/>
  <c r="D80" i="6"/>
  <c r="F79" i="6"/>
  <c r="E79" i="6"/>
  <c r="D79" i="6"/>
  <c r="F72" i="6"/>
  <c r="F73" i="6" s="1"/>
  <c r="E72" i="6"/>
  <c r="E73" i="6" s="1"/>
  <c r="D72" i="6"/>
  <c r="D73" i="6" s="1"/>
  <c r="F69" i="6"/>
  <c r="E69" i="6"/>
  <c r="D69" i="6"/>
  <c r="E58" i="6"/>
  <c r="E59" i="6" s="1"/>
  <c r="E57" i="6"/>
  <c r="D56" i="6"/>
  <c r="D60" i="6" s="1"/>
  <c r="D61" i="6" s="1"/>
  <c r="D52" i="6"/>
  <c r="F51" i="6"/>
  <c r="F52" i="6" s="1"/>
  <c r="E51" i="6"/>
  <c r="E52" i="6" s="1"/>
  <c r="E49" i="6"/>
  <c r="D49" i="6"/>
  <c r="F48" i="6"/>
  <c r="F49" i="6" s="1"/>
  <c r="E48" i="6"/>
  <c r="D43" i="6"/>
  <c r="F41" i="6"/>
  <c r="F42" i="6" s="1"/>
  <c r="E41" i="6"/>
  <c r="E42" i="6" s="1"/>
  <c r="E32" i="6"/>
  <c r="D31" i="6"/>
  <c r="D29" i="6"/>
  <c r="D25" i="6"/>
  <c r="R24" i="6"/>
  <c r="D23" i="6"/>
  <c r="M20" i="6"/>
  <c r="R20" i="6" s="1"/>
  <c r="D19" i="6"/>
  <c r="R8" i="6" s="1"/>
  <c r="F14" i="6"/>
  <c r="F15" i="6" s="1"/>
  <c r="E14" i="6"/>
  <c r="E15" i="6" s="1"/>
  <c r="C13" i="6"/>
  <c r="S14" i="6" s="1"/>
  <c r="D11" i="6"/>
  <c r="D14" i="6" s="1"/>
  <c r="C10" i="6"/>
  <c r="D10" i="6" s="1"/>
  <c r="D41" i="6" s="1"/>
  <c r="S8" i="6"/>
  <c r="F8" i="6"/>
  <c r="E8" i="6"/>
  <c r="D8" i="6"/>
  <c r="D27" i="4"/>
  <c r="E26" i="1"/>
  <c r="E32" i="2"/>
  <c r="D34" i="1"/>
  <c r="D35" i="1"/>
  <c r="F88" i="1"/>
  <c r="E88" i="1"/>
  <c r="F87" i="2"/>
  <c r="E87" i="2"/>
  <c r="R44" i="2"/>
  <c r="X44" i="2"/>
  <c r="D61" i="2"/>
  <c r="D60" i="2"/>
  <c r="D62" i="1"/>
  <c r="N44" i="2"/>
  <c r="B5" i="14" l="1"/>
  <c r="K3" i="14"/>
  <c r="B13" i="14"/>
  <c r="K11" i="14"/>
  <c r="K9" i="14"/>
  <c r="C5" i="14"/>
  <c r="D5" i="14"/>
  <c r="C22" i="14"/>
  <c r="E5" i="14"/>
  <c r="F63" i="1"/>
  <c r="E63" i="1"/>
  <c r="D63" i="1"/>
  <c r="G8" i="14"/>
  <c r="D22" i="14"/>
  <c r="P17" i="14" s="1"/>
  <c r="E13" i="14"/>
  <c r="D8" i="14"/>
  <c r="E16" i="14"/>
  <c r="K16" i="14" s="1"/>
  <c r="E19" i="14"/>
  <c r="B22" i="14"/>
  <c r="E22" i="14"/>
  <c r="D13" i="14"/>
  <c r="P12" i="14" s="1"/>
  <c r="B19" i="14"/>
  <c r="K19" i="14" s="1"/>
  <c r="B8" i="14"/>
  <c r="K8" i="14" s="1"/>
  <c r="AA33" i="11"/>
  <c r="P8" i="11"/>
  <c r="R19" i="11"/>
  <c r="S8" i="11"/>
  <c r="T8" i="11" s="1"/>
  <c r="V8" i="11" s="1"/>
  <c r="X8" i="11" s="1"/>
  <c r="S19" i="10"/>
  <c r="S8" i="10"/>
  <c r="T8" i="10"/>
  <c r="P8" i="10"/>
  <c r="AA63" i="9"/>
  <c r="T27" i="9"/>
  <c r="T18" i="9"/>
  <c r="V8" i="9"/>
  <c r="X8" i="9" s="1"/>
  <c r="Z8" i="9" s="1"/>
  <c r="G3" i="14" s="1"/>
  <c r="G5" i="14" s="1"/>
  <c r="R44" i="7"/>
  <c r="V22" i="9"/>
  <c r="X22" i="9" s="1"/>
  <c r="X37" i="9"/>
  <c r="X32" i="9"/>
  <c r="F63" i="9"/>
  <c r="E63" i="9"/>
  <c r="D63" i="9"/>
  <c r="P18" i="9"/>
  <c r="V18" i="9" s="1"/>
  <c r="X18" i="9" s="1"/>
  <c r="D59" i="9"/>
  <c r="E60" i="9"/>
  <c r="T42" i="9" s="1"/>
  <c r="P27" i="9"/>
  <c r="V27" i="9" s="1"/>
  <c r="X27" i="9" s="1"/>
  <c r="E59" i="9"/>
  <c r="F60" i="9"/>
  <c r="D60" i="9"/>
  <c r="T44" i="7"/>
  <c r="N44" i="7"/>
  <c r="P44" i="7" s="1"/>
  <c r="P30" i="7"/>
  <c r="V8" i="7"/>
  <c r="X8" i="7" s="1"/>
  <c r="V24" i="7"/>
  <c r="X24" i="7" s="1"/>
  <c r="R20" i="7"/>
  <c r="T20" i="7" s="1"/>
  <c r="V20" i="7" s="1"/>
  <c r="X20" i="7" s="1"/>
  <c r="D58" i="7"/>
  <c r="D59" i="7" s="1"/>
  <c r="R30" i="7"/>
  <c r="T30" i="7" s="1"/>
  <c r="D57" i="7"/>
  <c r="V27" i="8"/>
  <c r="X27" i="8" s="1"/>
  <c r="P8" i="8"/>
  <c r="V8" i="8" s="1"/>
  <c r="X8" i="8" s="1"/>
  <c r="Z8" i="8" s="1"/>
  <c r="AA8" i="8" s="1"/>
  <c r="P12" i="8"/>
  <c r="V12" i="8" s="1"/>
  <c r="X12" i="8" s="1"/>
  <c r="Z12" i="8" s="1"/>
  <c r="AA12" i="8" s="1"/>
  <c r="P18" i="8"/>
  <c r="P22" i="8"/>
  <c r="V22" i="8" s="1"/>
  <c r="X22" i="8" s="1"/>
  <c r="T8" i="6"/>
  <c r="O8" i="6"/>
  <c r="O24" i="6"/>
  <c r="P24" i="6" s="1"/>
  <c r="N8" i="6"/>
  <c r="P8" i="6" s="1"/>
  <c r="E44" i="6"/>
  <c r="S20" i="6"/>
  <c r="T20" i="6" s="1"/>
  <c r="F44" i="6"/>
  <c r="O19" i="10"/>
  <c r="X32" i="8"/>
  <c r="D63" i="8"/>
  <c r="F63" i="8"/>
  <c r="E63" i="8"/>
  <c r="T18" i="8"/>
  <c r="F59" i="8"/>
  <c r="F60" i="8"/>
  <c r="D59" i="8"/>
  <c r="D42" i="6"/>
  <c r="D44" i="6" s="1"/>
  <c r="T30" i="6" s="1"/>
  <c r="T14" i="6"/>
  <c r="P30" i="6"/>
  <c r="O14" i="6"/>
  <c r="S24" i="6"/>
  <c r="T24" i="6" s="1"/>
  <c r="V24" i="6" s="1"/>
  <c r="X24" i="6" s="1"/>
  <c r="D57" i="6"/>
  <c r="D58" i="6"/>
  <c r="D59" i="6" s="1"/>
  <c r="P20" i="6"/>
  <c r="F57" i="6"/>
  <c r="F58" i="6"/>
  <c r="F59" i="6" s="1"/>
  <c r="D13" i="6"/>
  <c r="D25" i="2"/>
  <c r="D19" i="1"/>
  <c r="N8" i="4"/>
  <c r="F21" i="4"/>
  <c r="E21" i="4"/>
  <c r="D20" i="4"/>
  <c r="F59" i="2"/>
  <c r="E59" i="2"/>
  <c r="D59" i="2"/>
  <c r="F58" i="2"/>
  <c r="E58" i="2"/>
  <c r="F57" i="2"/>
  <c r="E57" i="2"/>
  <c r="D57" i="2"/>
  <c r="F44" i="2"/>
  <c r="E44" i="2"/>
  <c r="D43" i="2"/>
  <c r="F42" i="2"/>
  <c r="E42" i="2"/>
  <c r="E41" i="2"/>
  <c r="F41" i="2"/>
  <c r="D41" i="2"/>
  <c r="D42" i="2" s="1"/>
  <c r="D10" i="2"/>
  <c r="E36" i="1"/>
  <c r="F36" i="1"/>
  <c r="D36" i="1"/>
  <c r="F35" i="1"/>
  <c r="F34" i="1"/>
  <c r="E34" i="1"/>
  <c r="E35" i="1"/>
  <c r="D58" i="2"/>
  <c r="D11" i="2"/>
  <c r="E49" i="2"/>
  <c r="F49" i="2"/>
  <c r="E52" i="2"/>
  <c r="F52" i="2"/>
  <c r="F51" i="2"/>
  <c r="E51" i="2"/>
  <c r="F48" i="2"/>
  <c r="E48" i="2"/>
  <c r="F43" i="1"/>
  <c r="F42" i="1"/>
  <c r="F46" i="1" s="1"/>
  <c r="E42" i="1"/>
  <c r="E43" i="1" s="1"/>
  <c r="E46" i="1" s="1"/>
  <c r="F49" i="1"/>
  <c r="E49" i="1"/>
  <c r="E73" i="2"/>
  <c r="F73" i="2"/>
  <c r="F72" i="2"/>
  <c r="E72" i="2"/>
  <c r="D72" i="2"/>
  <c r="F69" i="2"/>
  <c r="E69" i="2"/>
  <c r="D69" i="2"/>
  <c r="E79" i="2"/>
  <c r="F79" i="2"/>
  <c r="D25" i="1"/>
  <c r="E78" i="1"/>
  <c r="F78" i="1"/>
  <c r="E72" i="1"/>
  <c r="F72" i="1"/>
  <c r="F71" i="1"/>
  <c r="E71" i="1"/>
  <c r="E8" i="1"/>
  <c r="E9" i="1" s="1"/>
  <c r="F8" i="1"/>
  <c r="F9" i="1"/>
  <c r="N8" i="1"/>
  <c r="D19" i="5"/>
  <c r="K22" i="14" l="1"/>
  <c r="N17" i="14"/>
  <c r="N12" i="14"/>
  <c r="P6" i="14"/>
  <c r="K13" i="14"/>
  <c r="K5" i="14"/>
  <c r="N6" i="14"/>
  <c r="N19" i="11"/>
  <c r="P19" i="11" s="1"/>
  <c r="T19" i="11"/>
  <c r="V19" i="11" s="1"/>
  <c r="X19" i="11" s="1"/>
  <c r="AA39" i="11" s="1"/>
  <c r="V8" i="10"/>
  <c r="X8" i="10" s="1"/>
  <c r="Z8" i="10" s="1"/>
  <c r="AA71" i="9"/>
  <c r="G2" i="14" s="1"/>
  <c r="N42" i="9"/>
  <c r="P42" i="9" s="1"/>
  <c r="V42" i="9" s="1"/>
  <c r="X42" i="9" s="1"/>
  <c r="X39" i="7"/>
  <c r="V30" i="7"/>
  <c r="X30" i="7" s="1"/>
  <c r="AA69" i="7" s="1"/>
  <c r="D2" i="14" s="1"/>
  <c r="P2" i="14" s="1"/>
  <c r="X35" i="7"/>
  <c r="V44" i="7"/>
  <c r="X44" i="7" s="1"/>
  <c r="V18" i="8"/>
  <c r="X18" i="8" s="1"/>
  <c r="V30" i="6"/>
  <c r="X30" i="6" s="1"/>
  <c r="V20" i="6"/>
  <c r="X20" i="6" s="1"/>
  <c r="P14" i="6"/>
  <c r="V14" i="6" s="1"/>
  <c r="X14" i="6" s="1"/>
  <c r="V8" i="6"/>
  <c r="X8" i="6" s="1"/>
  <c r="Z8" i="6" s="1"/>
  <c r="AA8" i="6" s="1"/>
  <c r="N19" i="10"/>
  <c r="P19" i="10" s="1"/>
  <c r="T19" i="10"/>
  <c r="T42" i="8"/>
  <c r="N42" i="8"/>
  <c r="P42" i="8" s="1"/>
  <c r="AA71" i="8"/>
  <c r="E2" i="14" s="1"/>
  <c r="T44" i="6"/>
  <c r="N44" i="6"/>
  <c r="P44" i="6" s="1"/>
  <c r="X35" i="6"/>
  <c r="X39" i="6"/>
  <c r="E60" i="1"/>
  <c r="D59" i="1"/>
  <c r="O42" i="1" s="1"/>
  <c r="D60" i="1"/>
  <c r="F60" i="1"/>
  <c r="E59" i="1"/>
  <c r="F59" i="1"/>
  <c r="D37" i="4"/>
  <c r="D88" i="1"/>
  <c r="X67" i="1"/>
  <c r="X63" i="1"/>
  <c r="X53" i="1"/>
  <c r="D87" i="2"/>
  <c r="C13" i="2"/>
  <c r="X61" i="2" s="1"/>
  <c r="C10" i="2"/>
  <c r="N2" i="14" l="1"/>
  <c r="K2" i="14"/>
  <c r="D65" i="9"/>
  <c r="D67" i="9"/>
  <c r="D66" i="9"/>
  <c r="D65" i="7"/>
  <c r="D63" i="7"/>
  <c r="D64" i="7"/>
  <c r="V19" i="10"/>
  <c r="X19" i="10" s="1"/>
  <c r="V42" i="8"/>
  <c r="X42" i="8" s="1"/>
  <c r="AA69" i="6"/>
  <c r="V44" i="6"/>
  <c r="X44" i="6" s="1"/>
  <c r="X65" i="2"/>
  <c r="Z61" i="2"/>
  <c r="AA61" i="2" s="1"/>
  <c r="B20" i="5" s="1"/>
  <c r="Z65" i="2"/>
  <c r="AA65" i="2" s="1"/>
  <c r="B21" i="5" s="1"/>
  <c r="X51" i="2"/>
  <c r="AA39" i="10" l="1"/>
  <c r="D67" i="8"/>
  <c r="D65" i="8"/>
  <c r="D66" i="8"/>
  <c r="D63" i="6"/>
  <c r="D65" i="6"/>
  <c r="D64" i="6"/>
  <c r="B22" i="5"/>
  <c r="AC42" i="1"/>
  <c r="AA42" i="1"/>
  <c r="C14" i="5" s="1"/>
  <c r="R22" i="1"/>
  <c r="N22" i="1"/>
  <c r="R8" i="1"/>
  <c r="AC44" i="2"/>
  <c r="AB44" i="2"/>
  <c r="AA44" i="2"/>
  <c r="B14" i="5" s="1"/>
  <c r="R24" i="2"/>
  <c r="N24" i="2"/>
  <c r="M20" i="2"/>
  <c r="R20" i="2" s="1"/>
  <c r="X24" i="4"/>
  <c r="D21" i="4"/>
  <c r="D15" i="4"/>
  <c r="F9" i="4"/>
  <c r="E9" i="4"/>
  <c r="C6" i="4"/>
  <c r="O20" i="4" s="1"/>
  <c r="C7" i="4"/>
  <c r="D80" i="2"/>
  <c r="D79" i="2" s="1"/>
  <c r="D52" i="2"/>
  <c r="AB42" i="1"/>
  <c r="D61" i="1"/>
  <c r="D28" i="4"/>
  <c r="D56" i="2"/>
  <c r="N27" i="1"/>
  <c r="M42" i="1"/>
  <c r="Z25" i="4" l="1"/>
  <c r="AB24" i="4" s="1"/>
  <c r="Z26" i="4"/>
  <c r="AC24" i="4" s="1"/>
  <c r="X15" i="4"/>
  <c r="Z15" i="4" s="1"/>
  <c r="X34" i="4"/>
  <c r="X30" i="4"/>
  <c r="B16" i="5"/>
  <c r="E14" i="5"/>
  <c r="N20" i="2"/>
  <c r="Z24" i="4"/>
  <c r="S20" i="4"/>
  <c r="O44" i="2"/>
  <c r="S42" i="1"/>
  <c r="AA15" i="4"/>
  <c r="S8" i="4"/>
  <c r="O8" i="4"/>
  <c r="Z17" i="4"/>
  <c r="AC15" i="4" s="1"/>
  <c r="Z16" i="4"/>
  <c r="AB15" i="4" s="1"/>
  <c r="R8" i="4"/>
  <c r="AB47" i="1"/>
  <c r="Z49" i="1"/>
  <c r="AC47" i="1" s="1"/>
  <c r="AA24" i="4" l="1"/>
  <c r="I15" i="14" s="1"/>
  <c r="D9" i="5"/>
  <c r="E9" i="5" s="1"/>
  <c r="Z32" i="4"/>
  <c r="AC30" i="4" s="1"/>
  <c r="Z30" i="4"/>
  <c r="AA30" i="4" s="1"/>
  <c r="Z31" i="4"/>
  <c r="AB30" i="4" s="1"/>
  <c r="R20" i="4"/>
  <c r="T20" i="4" s="1"/>
  <c r="Z35" i="4"/>
  <c r="AB34" i="4" s="1"/>
  <c r="Z34" i="4"/>
  <c r="AA34" i="4" s="1"/>
  <c r="Z36" i="4"/>
  <c r="AC34" i="4" s="1"/>
  <c r="R42" i="1"/>
  <c r="N42" i="1" s="1"/>
  <c r="S44" i="2"/>
  <c r="P8" i="4"/>
  <c r="X55" i="2"/>
  <c r="Z55" i="2" s="1"/>
  <c r="B18" i="5" s="1"/>
  <c r="D73" i="2"/>
  <c r="R27" i="1"/>
  <c r="D31" i="2"/>
  <c r="M30" i="2"/>
  <c r="N30" i="2" s="1"/>
  <c r="D49" i="2"/>
  <c r="E14" i="2"/>
  <c r="F14" i="2"/>
  <c r="D50" i="1"/>
  <c r="D44" i="1"/>
  <c r="D43" i="1"/>
  <c r="D81" i="1"/>
  <c r="D80" i="1"/>
  <c r="D79" i="1"/>
  <c r="D72" i="1"/>
  <c r="D21" i="5" l="1"/>
  <c r="I21" i="14"/>
  <c r="D20" i="5"/>
  <c r="I20" i="14"/>
  <c r="I22" i="14" s="1"/>
  <c r="N20" i="4"/>
  <c r="P20" i="4" s="1"/>
  <c r="D22" i="5"/>
  <c r="Z64" i="1"/>
  <c r="AB63" i="1" s="1"/>
  <c r="Z68" i="1"/>
  <c r="AB67" i="1" s="1"/>
  <c r="D78" i="1"/>
  <c r="D46" i="1"/>
  <c r="V20" i="4"/>
  <c r="X20" i="4" s="1"/>
  <c r="T8" i="4"/>
  <c r="V8" i="4" s="1"/>
  <c r="X8" i="4" s="1"/>
  <c r="Z8" i="4" s="1"/>
  <c r="O27" i="1"/>
  <c r="S27" i="1"/>
  <c r="R30" i="2"/>
  <c r="O30" i="2"/>
  <c r="X57" i="1"/>
  <c r="Z63" i="1" l="1"/>
  <c r="AA63" i="1" s="1"/>
  <c r="Z67" i="1"/>
  <c r="AA67" i="1" s="1"/>
  <c r="Z11" i="4"/>
  <c r="AC8" i="4" s="1"/>
  <c r="Z20" i="4"/>
  <c r="AA20" i="4" s="1"/>
  <c r="Z22" i="4"/>
  <c r="AC20" i="4" s="1"/>
  <c r="Z21" i="4"/>
  <c r="AB20" i="4" s="1"/>
  <c r="AA47" i="1"/>
  <c r="X37" i="1"/>
  <c r="X32" i="1"/>
  <c r="Z51" i="2"/>
  <c r="AA51" i="2" s="1"/>
  <c r="B17" i="5" s="1"/>
  <c r="B19" i="5" s="1"/>
  <c r="Z57" i="1"/>
  <c r="AA57" i="1" s="1"/>
  <c r="P30" i="2"/>
  <c r="T27" i="1"/>
  <c r="Z53" i="1"/>
  <c r="AA53" i="1" s="1"/>
  <c r="AC40" i="4" l="1"/>
  <c r="C17" i="5"/>
  <c r="F17" i="14"/>
  <c r="C18" i="5"/>
  <c r="E18" i="5" s="1"/>
  <c r="F18" i="14"/>
  <c r="C15" i="5"/>
  <c r="F15" i="14"/>
  <c r="F16" i="14" s="1"/>
  <c r="C21" i="5"/>
  <c r="E21" i="5" s="1"/>
  <c r="F21" i="14"/>
  <c r="C20" i="5"/>
  <c r="F20" i="14"/>
  <c r="F22" i="14" s="1"/>
  <c r="O17" i="14" s="1"/>
  <c r="D16" i="5"/>
  <c r="I14" i="14"/>
  <c r="I16" i="14" s="1"/>
  <c r="E17" i="5"/>
  <c r="C19" i="5"/>
  <c r="E19" i="5" s="1"/>
  <c r="C22" i="5"/>
  <c r="E20" i="5"/>
  <c r="C16" i="5"/>
  <c r="E16" i="5" s="1"/>
  <c r="AA8" i="4"/>
  <c r="I4" i="14" s="1"/>
  <c r="I5" i="14" s="1"/>
  <c r="Z9" i="4"/>
  <c r="AB8" i="4" s="1"/>
  <c r="AB40" i="4" s="1"/>
  <c r="P27" i="1"/>
  <c r="T42" i="1"/>
  <c r="P42" i="1"/>
  <c r="D23" i="2"/>
  <c r="N14" i="2" s="1"/>
  <c r="D19" i="2"/>
  <c r="D29" i="2"/>
  <c r="F8" i="2"/>
  <c r="E8" i="2"/>
  <c r="D8" i="2"/>
  <c r="S22" i="1"/>
  <c r="S18" i="1"/>
  <c r="O22" i="1"/>
  <c r="O18" i="1"/>
  <c r="R12" i="1"/>
  <c r="N12" i="1"/>
  <c r="S12" i="1"/>
  <c r="S8" i="1"/>
  <c r="O12" i="1"/>
  <c r="O8" i="1"/>
  <c r="D23" i="1"/>
  <c r="F19" i="14" l="1"/>
  <c r="D4" i="5"/>
  <c r="D5" i="5" s="1"/>
  <c r="AA40" i="4"/>
  <c r="E22" i="5"/>
  <c r="R18" i="1"/>
  <c r="T18" i="1" s="1"/>
  <c r="N18" i="1"/>
  <c r="P18" i="1" s="1"/>
  <c r="Z32" i="1"/>
  <c r="AA32" i="1" s="1"/>
  <c r="Z33" i="1"/>
  <c r="Z38" i="1"/>
  <c r="AB37" i="1" s="1"/>
  <c r="Z37" i="1"/>
  <c r="AA37" i="1" s="1"/>
  <c r="S30" i="2"/>
  <c r="F15" i="2"/>
  <c r="E15" i="2"/>
  <c r="S20" i="2"/>
  <c r="Z58" i="1"/>
  <c r="AB57" i="1" s="1"/>
  <c r="Z54" i="1"/>
  <c r="AB53" i="1" s="1"/>
  <c r="T8" i="1"/>
  <c r="V8" i="1" s="1"/>
  <c r="X8" i="1" s="1"/>
  <c r="S14" i="2"/>
  <c r="O14" i="2"/>
  <c r="P14" i="2" s="1"/>
  <c r="O24" i="2"/>
  <c r="P24" i="2" s="1"/>
  <c r="S24" i="2"/>
  <c r="T24" i="2" s="1"/>
  <c r="O20" i="2"/>
  <c r="R14" i="2"/>
  <c r="P22" i="1"/>
  <c r="T22" i="1"/>
  <c r="T12" i="1"/>
  <c r="P12" i="1"/>
  <c r="C12" i="5" l="1"/>
  <c r="F12" i="14"/>
  <c r="C11" i="5"/>
  <c r="C13" i="5" s="1"/>
  <c r="F11" i="14"/>
  <c r="F13" i="14" s="1"/>
  <c r="D2" i="5"/>
  <c r="I2" i="14"/>
  <c r="Z9" i="1"/>
  <c r="Z8" i="1"/>
  <c r="AA8" i="1" s="1"/>
  <c r="F3" i="14" s="1"/>
  <c r="Z63" i="2"/>
  <c r="AC61" i="2" s="1"/>
  <c r="Z67" i="2"/>
  <c r="AC65" i="2" s="1"/>
  <c r="Z34" i="1"/>
  <c r="AC32" i="1" s="1"/>
  <c r="Z69" i="1"/>
  <c r="AC67" i="1" s="1"/>
  <c r="Z65" i="1"/>
  <c r="AC63" i="1" s="1"/>
  <c r="Z62" i="2"/>
  <c r="AB61" i="2" s="1"/>
  <c r="Z66" i="2"/>
  <c r="AB65" i="2" s="1"/>
  <c r="T8" i="2"/>
  <c r="Z56" i="2"/>
  <c r="AB55" i="2" s="1"/>
  <c r="Z52" i="2"/>
  <c r="AB51" i="2" s="1"/>
  <c r="Z57" i="2"/>
  <c r="AC55" i="2" s="1"/>
  <c r="Z53" i="2"/>
  <c r="AC51" i="2" s="1"/>
  <c r="Z39" i="1"/>
  <c r="AC37" i="1" s="1"/>
  <c r="T20" i="2"/>
  <c r="Z59" i="1"/>
  <c r="AC57" i="1" s="1"/>
  <c r="Z55" i="1"/>
  <c r="AC53" i="1" s="1"/>
  <c r="V18" i="1"/>
  <c r="X18" i="1" s="1"/>
  <c r="Z18" i="1" s="1"/>
  <c r="AA18" i="1" s="1"/>
  <c r="F6" i="14" s="1"/>
  <c r="C3" i="5"/>
  <c r="T14" i="2"/>
  <c r="V14" i="2" s="1"/>
  <c r="X14" i="2" s="1"/>
  <c r="P8" i="2"/>
  <c r="P20" i="2"/>
  <c r="V24" i="2"/>
  <c r="X24" i="2" s="1"/>
  <c r="V22" i="1"/>
  <c r="X22" i="1" s="1"/>
  <c r="V12" i="1"/>
  <c r="X12" i="1" s="1"/>
  <c r="Z12" i="1" s="1"/>
  <c r="T30" i="2" l="1"/>
  <c r="V30" i="2" s="1"/>
  <c r="X30" i="2" s="1"/>
  <c r="Z30" i="2" s="1"/>
  <c r="AA30" i="2" s="1"/>
  <c r="X39" i="2"/>
  <c r="X35" i="2"/>
  <c r="Z35" i="2" s="1"/>
  <c r="AA35" i="2" s="1"/>
  <c r="V27" i="1"/>
  <c r="AB32" i="1"/>
  <c r="Z16" i="2"/>
  <c r="AC14" i="2" s="1"/>
  <c r="Z15" i="2"/>
  <c r="AB14" i="2" s="1"/>
  <c r="Z26" i="2"/>
  <c r="AC24" i="2" s="1"/>
  <c r="Z25" i="2"/>
  <c r="AB24" i="2" s="1"/>
  <c r="V20" i="2"/>
  <c r="X20" i="2" s="1"/>
  <c r="Z24" i="2"/>
  <c r="AA24" i="2" s="1"/>
  <c r="B7" i="5" s="1"/>
  <c r="Z14" i="2"/>
  <c r="AB8" i="1"/>
  <c r="Z19" i="1"/>
  <c r="AB18" i="1" s="1"/>
  <c r="C6" i="5"/>
  <c r="V42" i="1"/>
  <c r="Z14" i="1"/>
  <c r="AC12" i="1" s="1"/>
  <c r="Z13" i="1"/>
  <c r="AB12" i="1" s="1"/>
  <c r="AA12" i="1"/>
  <c r="Z22" i="1"/>
  <c r="AA22" i="1" s="1"/>
  <c r="Z10" i="1"/>
  <c r="AC8" i="1" s="1"/>
  <c r="Z20" i="1"/>
  <c r="AC18" i="1" s="1"/>
  <c r="B11" i="5" l="1"/>
  <c r="C11" i="14"/>
  <c r="B10" i="5"/>
  <c r="C10" i="14"/>
  <c r="L10" i="14" s="1"/>
  <c r="C7" i="5"/>
  <c r="F7" i="14"/>
  <c r="F8" i="14" s="1"/>
  <c r="C4" i="5"/>
  <c r="C5" i="5" s="1"/>
  <c r="F4" i="14"/>
  <c r="F5" i="14" s="1"/>
  <c r="O6" i="14" s="1"/>
  <c r="C8" i="5"/>
  <c r="E7" i="5"/>
  <c r="E11" i="5"/>
  <c r="Z10" i="2"/>
  <c r="AC8" i="2" s="1"/>
  <c r="Z9" i="2"/>
  <c r="AB8" i="2" s="1"/>
  <c r="AA8" i="2"/>
  <c r="X27" i="1"/>
  <c r="Z28" i="1" s="1"/>
  <c r="AB27" i="1" s="1"/>
  <c r="D66" i="1"/>
  <c r="Z41" i="2"/>
  <c r="AC39" i="2" s="1"/>
  <c r="Z32" i="2"/>
  <c r="AC30" i="2" s="1"/>
  <c r="Z31" i="2"/>
  <c r="AB30" i="2" s="1"/>
  <c r="Z22" i="2"/>
  <c r="AC20" i="2" s="1"/>
  <c r="Z21" i="2"/>
  <c r="AB20" i="2" s="1"/>
  <c r="Z20" i="2"/>
  <c r="AA20" i="2" s="1"/>
  <c r="B6" i="5" s="1"/>
  <c r="Z24" i="1"/>
  <c r="AC22" i="1" s="1"/>
  <c r="Z23" i="1"/>
  <c r="AB22" i="1" s="1"/>
  <c r="L11" i="14" l="1"/>
  <c r="D67" i="1"/>
  <c r="E6" i="5"/>
  <c r="B8" i="5"/>
  <c r="E8" i="5" s="1"/>
  <c r="B3" i="5"/>
  <c r="Z27" i="1"/>
  <c r="AA27" i="1" s="1"/>
  <c r="F10" i="14" s="1"/>
  <c r="Z29" i="1"/>
  <c r="AC27" i="1" s="1"/>
  <c r="AC71" i="1" s="1"/>
  <c r="Z39" i="2"/>
  <c r="AA39" i="2" s="1"/>
  <c r="Z40" i="2"/>
  <c r="AB39" i="2" s="1"/>
  <c r="Z37" i="2"/>
  <c r="AC35" i="2" s="1"/>
  <c r="AC69" i="2" s="1"/>
  <c r="Z36" i="2"/>
  <c r="AB35" i="2" s="1"/>
  <c r="AB71" i="1"/>
  <c r="B12" i="5" l="1"/>
  <c r="C12" i="14"/>
  <c r="AB69" i="2"/>
  <c r="AA71" i="1"/>
  <c r="C10" i="5"/>
  <c r="AA69" i="2"/>
  <c r="C2" i="14" s="1"/>
  <c r="L2" i="14" s="1"/>
  <c r="E12" i="5"/>
  <c r="B13" i="5"/>
  <c r="B5" i="5"/>
  <c r="E3" i="5"/>
  <c r="P44" i="2"/>
  <c r="T44" i="2"/>
  <c r="B24" i="5" l="1"/>
  <c r="I14" i="5"/>
  <c r="L12" i="14"/>
  <c r="C13" i="14"/>
  <c r="B2" i="5"/>
  <c r="I8" i="5"/>
  <c r="F2" i="14"/>
  <c r="O2" i="14" s="1"/>
  <c r="E2" i="5"/>
  <c r="E10" i="5"/>
  <c r="E13" i="5"/>
  <c r="E24" i="5" s="1"/>
  <c r="V44" i="2"/>
  <c r="L13" i="14" l="1"/>
  <c r="O12" i="14"/>
  <c r="D65" i="2"/>
  <c r="D64" i="2"/>
  <c r="D63" i="2"/>
</calcChain>
</file>

<file path=xl/sharedStrings.xml><?xml version="1.0" encoding="utf-8"?>
<sst xmlns="http://schemas.openxmlformats.org/spreadsheetml/2006/main" count="2170" uniqueCount="299">
  <si>
    <t>Key Information</t>
  </si>
  <si>
    <t>Adults (18 &amp; Older)</t>
  </si>
  <si>
    <t>Number</t>
  </si>
  <si>
    <t>%</t>
  </si>
  <si>
    <t xml:space="preserve">CI lower </t>
  </si>
  <si>
    <t xml:space="preserve">CI upper </t>
  </si>
  <si>
    <t>Sources</t>
  </si>
  <si>
    <t>Total population Indiana (18 and older</t>
  </si>
  <si>
    <t xml:space="preserve">Eq. part 1 </t>
  </si>
  <si>
    <t>Eq. part 1 Total</t>
  </si>
  <si>
    <t>Eq. part 2</t>
  </si>
  <si>
    <t>Eq. part 2 total</t>
  </si>
  <si>
    <t>Eq. part 3</t>
  </si>
  <si>
    <t>Final Number of Hoosiers</t>
  </si>
  <si>
    <t>Eq. part 4</t>
  </si>
  <si>
    <t>Costs incurred</t>
  </si>
  <si>
    <t>Lower Bound</t>
  </si>
  <si>
    <t>Upper Bound</t>
  </si>
  <si>
    <t>Population of adults (18 and older) without SMI</t>
  </si>
  <si>
    <t xml:space="preserve">https://pdas.samhsa.gov/#/ </t>
  </si>
  <si>
    <t>a</t>
  </si>
  <si>
    <t>Population</t>
  </si>
  <si>
    <t>Hoosiers within criteria without MI</t>
  </si>
  <si>
    <t>Hoosiers in Indiana without MI</t>
  </si>
  <si>
    <t>Prevalence of outcome without MI</t>
  </si>
  <si>
    <t>Hoosiers within criteria with MI</t>
  </si>
  <si>
    <t>Hoosiers in Indiana with MI</t>
  </si>
  <si>
    <t>Prevalence of outcome with MI</t>
  </si>
  <si>
    <t>Population of adults (18 and older) with SMI</t>
  </si>
  <si>
    <t>Direct non-health care costs</t>
  </si>
  <si>
    <t>Criminal Justice System</t>
  </si>
  <si>
    <t>Untreated SMI prevalence</t>
  </si>
  <si>
    <t>Jail</t>
  </si>
  <si>
    <t>https://nicic.gov/state-statistics/2019/indiana-2019  </t>
  </si>
  <si>
    <t>Lower</t>
  </si>
  <si>
    <t>Population of adults (18 and older) without other MI</t>
  </si>
  <si>
    <t>Upper</t>
  </si>
  <si>
    <t>Population of adults (18 and older) with other MI</t>
  </si>
  <si>
    <t>Population of MI without SMI</t>
  </si>
  <si>
    <t>Untreated MI prevalence</t>
  </si>
  <si>
    <t>Prison</t>
  </si>
  <si>
    <t>Proportion of untreated among those with MI</t>
  </si>
  <si>
    <t>Population  with untreated   other MI</t>
  </si>
  <si>
    <t>Criminal Justice</t>
  </si>
  <si>
    <t>Homeless services</t>
  </si>
  <si>
    <t>JAIL</t>
  </si>
  <si>
    <t>% of people in jail with other MI</t>
  </si>
  <si>
    <t xml:space="preserve">https://www.nami.org/NAMI/media/NAMI-Media/StateFactSheets/IndianaStateFactSheet.pdf </t>
  </si>
  <si>
    <t>Total homeless</t>
  </si>
  <si>
    <t>Cost per day for jail resident</t>
  </si>
  <si>
    <t>https://staging.vera.org/publications/what-jails-cost-statewide/indiana</t>
  </si>
  <si>
    <t>Homeless, but not chronically homeless</t>
  </si>
  <si>
    <t>Average length of stay for jail resident (days)</t>
  </si>
  <si>
    <t>https://bjs.ojp.gov/content/pub/pdf/ji19.pdf  </t>
  </si>
  <si>
    <t>https://www.usich.gov/homelessness-statistics/in/</t>
  </si>
  <si>
    <t>PRISON</t>
  </si>
  <si>
    <t>% of people in prison with other MI</t>
  </si>
  <si>
    <t>Cost per day for prison resident</t>
  </si>
  <si>
    <t>https://faqs.in.gov/hc/en-us/articles/115005238288-How-much-does-it-cost-to-keep-an-offender-in-prison-</t>
  </si>
  <si>
    <t>Chronically homeless</t>
  </si>
  <si>
    <t>Average length of stay for prison resident (days)*</t>
  </si>
  <si>
    <t>https://bjs.ojp.gov/content/pub/pdf/tssp18.pdf  </t>
  </si>
  <si>
    <t xml:space="preserve">Lower </t>
  </si>
  <si>
    <t>% of people who are homeless with any MI</t>
  </si>
  <si>
    <t>https://www.bbrfoundation.org/blog/homelessness-and-mental-illness-challenge-our-society</t>
  </si>
  <si>
    <t>Indirect costs</t>
  </si>
  <si>
    <t>Estimated median time for homelessness (days)</t>
  </si>
  <si>
    <t xml:space="preserve">https://www.researchgate.net/publication/285782276_A_Journey_Home_What_Drives_How_Long_People_Are_Homeless?enrichId=rgreq-d214de295e0f67b92553707b1d6c4906- </t>
  </si>
  <si>
    <t>Unemployment</t>
  </si>
  <si>
    <t>Cost per person experiencing chronic homelessness</t>
  </si>
  <si>
    <t xml:space="preserve">https://ppidb.iu.edu/Uploads/PublicationFiles/cost-of-homelessness-2016.pdf </t>
  </si>
  <si>
    <t xml:space="preserve">https://content.govdelivery.com/accounts/INDWD/bulletins/258882e </t>
  </si>
  <si>
    <t>Cost per day adjusted for 2019 inflation</t>
  </si>
  <si>
    <t>Estimated time for chronically homeless</t>
  </si>
  <si>
    <t xml:space="preserve">https://endhomelessness.org/homelessness-in-america/who-experiences-homelessness/chronically-homeless/#:~:text=Chronic%20homelessness%20is%20used%20to,use%20disorder%2C%20or%20physical%20disability. </t>
  </si>
  <si>
    <t>Productivity losses</t>
  </si>
  <si>
    <t>Absenteeism</t>
  </si>
  <si>
    <t>Proportion of unemployed with AMI</t>
  </si>
  <si>
    <t>Average mean wage of working adult in Indiana</t>
  </si>
  <si>
    <t xml:space="preserve">https://www.bls.gov/oes/2019/may/oes_in.htm </t>
  </si>
  <si>
    <t>Total  labor force</t>
  </si>
  <si>
    <t>https://content.govdelivery.com/accounts/INDWD/bulletins/258882e</t>
  </si>
  <si>
    <t>Presenteeism</t>
  </si>
  <si>
    <t>Total unemployed</t>
  </si>
  <si>
    <t>Total labor force without MI</t>
  </si>
  <si>
    <t>Total labor force with MI</t>
  </si>
  <si>
    <t>Proportion of labor force with other MI</t>
  </si>
  <si>
    <t>Premature mortality</t>
  </si>
  <si>
    <t>Total labor force with other MI*</t>
  </si>
  <si>
    <t>All-cause mortality</t>
  </si>
  <si>
    <t>Mean hourly wage</t>
  </si>
  <si>
    <t>https://www.bls.gov/oes/2019/may/oes_in.htm  </t>
  </si>
  <si>
    <t>ABSENTEEISM</t>
  </si>
  <si>
    <t>Excess hours/week absenteeism due to any depression</t>
  </si>
  <si>
    <t>https://pubmed.ncbi.nlm.nih.gov/12813119/  </t>
  </si>
  <si>
    <t>Suicide</t>
  </si>
  <si>
    <t>SEE SMI WKST</t>
  </si>
  <si>
    <t>Excess total hours absent in year due to any depression</t>
  </si>
  <si>
    <t>PRESENTEEISM</t>
  </si>
  <si>
    <t xml:space="preserve">Caregiving </t>
  </si>
  <si>
    <t>Excess lost productivity due to depression (hours/week)</t>
  </si>
  <si>
    <t>Caregiving productivity</t>
  </si>
  <si>
    <t>Total hours lost to depression in year</t>
  </si>
  <si>
    <t>Total years lost to suicide (18-64 years of age)</t>
  </si>
  <si>
    <t xml:space="preserve">https://wonder.cdc.gov/ucd-icd10.html </t>
  </si>
  <si>
    <t>Caregiving excess direct healthcare costs</t>
  </si>
  <si>
    <t>Total number of adults (18-64) - Total pop minus population that is elderly (1115285)</t>
  </si>
  <si>
    <t>https://www.stats.indiana.edu/profiles/profiles.asp?scope_choice=a&amp;county_changer=18000</t>
  </si>
  <si>
    <t>Total pop (18-64) without MI</t>
  </si>
  <si>
    <t>Total pop (18-64) with  MI</t>
  </si>
  <si>
    <t>Total pop (18-64) with other MI</t>
  </si>
  <si>
    <t>Direct health care  costs</t>
  </si>
  <si>
    <t>Mortality rate among Hoosiers</t>
  </si>
  <si>
    <t>https://www.americashealthrankings.org/learn/reports/2019-annual-report/state-summaries-indiana</t>
  </si>
  <si>
    <t>Excess healthcare costs</t>
  </si>
  <si>
    <t>All cause mortality with mental illness</t>
  </si>
  <si>
    <t>https://www.who.int/mental_health/management/info_sheet.pdf</t>
  </si>
  <si>
    <t>Medicaid</t>
  </si>
  <si>
    <t>Number of excess deaths attributable to other MI</t>
  </si>
  <si>
    <t>Number of excess deaths attributable to other MI (lower bound)</t>
  </si>
  <si>
    <t>Number of excess deaths attributable to other MI (upper bound)</t>
  </si>
  <si>
    <t>Private</t>
  </si>
  <si>
    <t>*Note: Years life lost (Y44-Y46) are calculated on separate spreadsheet and then entered into eq. 4</t>
  </si>
  <si>
    <t>See Wkst - "Adults - suicide and all-cause mortality calculations"</t>
  </si>
  <si>
    <t>PRODUCTIVITY</t>
  </si>
  <si>
    <t>Excess hours caregivers give to tend someone with MI*</t>
  </si>
  <si>
    <t xml:space="preserve">https://www.caregiving.org/wp-content/uploads/2020/05/NAC_Mental_Illness_Study_2016_FINAL_WEB.pdf </t>
  </si>
  <si>
    <t>TOTAL ALL COSTS</t>
  </si>
  <si>
    <t>Proportion of MI individuals living with caregiver</t>
  </si>
  <si>
    <t xml:space="preserve">https://www.caregiving.org/wp-content/uploads/2020/05/NAC_Mental_Illness_Study_2016_FINAL_WEB.pdf ; https://www.mhanational.org/caregiver-and-community-inclusion#:~:text=45%25%20of%20people%20with%20mental,with%20their%20choice%20of%20housing. </t>
  </si>
  <si>
    <t>pg. 20 figure 7</t>
  </si>
  <si>
    <t>Excess hours  a week caregivers give to tend someone with MI*</t>
  </si>
  <si>
    <t>Excess hours * 52 weeks</t>
  </si>
  <si>
    <t>Proportion of any MI individuals living with caregiver</t>
  </si>
  <si>
    <t>Number of Hoosiers who are Caregivers</t>
  </si>
  <si>
    <t xml:space="preserve">http://www.iaaaa.org/its-national-family-caregivers-month-indiana-ranks-last-in-the-nation/ </t>
  </si>
  <si>
    <t>Caregivers who treat MI (minus SMI)</t>
  </si>
  <si>
    <t>EXCESS HEALTHCARE COSTS</t>
  </si>
  <si>
    <t xml:space="preserve">Excess health care costs per year adjusted for 2019 inflation </t>
  </si>
  <si>
    <t>Major depression costs (1999) per month</t>
  </si>
  <si>
    <t xml:space="preserve">https://www.sciencedirect.com/science/article/abs/pii/S0277953604006446 </t>
  </si>
  <si>
    <t xml:space="preserve">Direct health care </t>
  </si>
  <si>
    <t>Direct health care costs</t>
  </si>
  <si>
    <t>Excess health care costs 2019 (Medicaid) per person</t>
  </si>
  <si>
    <t>% of other MI population covered by Medicaid</t>
  </si>
  <si>
    <t xml:space="preserve">https://rdas.samhsa.gov/#/survey/NSDUH-2018-2019-RD02YR?column=AMIYR_U&amp;control=STATE&amp;filter=STATE%3D18&amp;results_received=true&amp;row=CAIDCHIP&amp;run_chisq=false&amp;weight=DASWT_1 </t>
  </si>
  <si>
    <t>Excess health care costs 2019 (Private insurance) per person</t>
  </si>
  <si>
    <t xml:space="preserve">https://www.ajmc.com/view/ajmc_11julaug_ivanova_e314to23; https://www.ncbi.nlm.nih.gov/pmc/articles/PMC8097130/pdf/40273_2021_Article_1019.pdf ; https://www.psychiatrist.com/read-pdf/5356/ </t>
  </si>
  <si>
    <t>CI of conversion factor (1.1, 2.1)</t>
  </si>
  <si>
    <t>% of other MI population covered by Private</t>
  </si>
  <si>
    <t xml:space="preserve">https://rdas.samhsa.gov/#/survey/NSDUH-2018-2019-RD02YR?column=AMIYR_U&amp;control=STATE&amp;filter=STATE%3D18&amp;results_received=true&amp;row=PRVHLTIN&amp;run_chisq=false&amp;weight=DASWT_1 </t>
  </si>
  <si>
    <t>* - This value was updated from v.1 due to typo</t>
  </si>
  <si>
    <t>Hoosiers within criteria without SMI</t>
  </si>
  <si>
    <t>Hoosiers in Indiana without SMI</t>
  </si>
  <si>
    <t>Prevalence of outcome without SMI</t>
  </si>
  <si>
    <t>Hoosiers within criteria with SMI</t>
  </si>
  <si>
    <t>Hoosiers in Indiana with SMI</t>
  </si>
  <si>
    <t>Prevalence of outcome with SMI</t>
  </si>
  <si>
    <t>Proportion of Untreated SMI among SMI pop</t>
  </si>
  <si>
    <t>Population with untreated SMI</t>
  </si>
  <si>
    <t>% of people in jail with SMI</t>
  </si>
  <si>
    <t>https://bjs.ojp.gov/content/pub/pdf/imhprpji1112.pdf</t>
  </si>
  <si>
    <t>% of people in prison with SMI</t>
  </si>
  <si>
    <t>Average length of stay for prison resident (days) - (2.7 years)*</t>
  </si>
  <si>
    <t>% of people who are homeless with SMI</t>
  </si>
  <si>
    <t>https://www.nationalhomeless.org/factsheets/Mental_Illness.pdf;  https://policyinstitute.iu.edu/doc/pit-count-2021.pdf</t>
  </si>
  <si>
    <t xml:space="preserve"> </t>
  </si>
  <si>
    <t>2018 cost per person experiencing chronic homelessness</t>
  </si>
  <si>
    <t>Cost per day (2019 dollar)</t>
  </si>
  <si>
    <t>Inflation from 2018 to 2019</t>
  </si>
  <si>
    <t>Proportion of labor force with SMI</t>
  </si>
  <si>
    <t>Total labor force without SMI</t>
  </si>
  <si>
    <t>Total labor force with SMI</t>
  </si>
  <si>
    <t>Full time employment among people with SMI</t>
  </si>
  <si>
    <t xml:space="preserve">https://ps.psychiatryonline.org/doi/10.1176/appi.ps.201300335 </t>
  </si>
  <si>
    <t>Excess days/year absenteeism due to bipolar</t>
  </si>
  <si>
    <t>https://www.psychiatrist.com/read-pdf/5390/  </t>
  </si>
  <si>
    <t>Excess hours/week absenteeism due to MDD</t>
  </si>
  <si>
    <t>Excess total hours absent in year due to MDD</t>
  </si>
  <si>
    <t>Excess total hours absent in year due to bipolar</t>
  </si>
  <si>
    <t>Averagve total hours lost due to SMI absenteeism</t>
  </si>
  <si>
    <t>Lost productivity due to MDD (hours/week)</t>
  </si>
  <si>
    <t>Excess hours/year lost due to MDD</t>
  </si>
  <si>
    <t>Total deaths due to suicide</t>
  </si>
  <si>
    <t>Total deaths (all-cause) among 18-64</t>
  </si>
  <si>
    <t>Total pop (18-64) without SMI</t>
  </si>
  <si>
    <t>Total pop (18-64) with SMI</t>
  </si>
  <si>
    <t>Risk of premature death among individuals with SMI</t>
  </si>
  <si>
    <t>https://www.ncbi.nlm.nih.gov/pmc/articles/PMC6918821/#:~:text=Results%3A%20Almost%2011%25%20of%20the,and%20unnatural%20causes%20for%2014%25.</t>
  </si>
  <si>
    <t>took average of range (2 to 3.4 - 1st intro paragrapj)</t>
  </si>
  <si>
    <t>All cause mortaility rate</t>
  </si>
  <si>
    <t>All cause mortality among people with SMI</t>
  </si>
  <si>
    <t>Number of excess deaths attributable to SMI</t>
  </si>
  <si>
    <t>Number of excess deaths attributable to SMI (lower bound)</t>
  </si>
  <si>
    <t>Number of excess deaths attributable to SMI (upper bound)</t>
  </si>
  <si>
    <t>*Note: Years life lost (Y42-Y45) are calculated on separate spreadsheet and then entered into eq. 4</t>
  </si>
  <si>
    <t>pg 31 (31.8-24.4)</t>
  </si>
  <si>
    <t>Proportion of SMI individuals living with caregiver</t>
  </si>
  <si>
    <t xml:space="preserve">https://scholarscompass.vcu.edu/cgi/viewcontent.cgi?article=5791&amp;context=etd </t>
  </si>
  <si>
    <t>pg. 1</t>
  </si>
  <si>
    <t>SMI Population in need of caregiver</t>
  </si>
  <si>
    <t>Bipolar costs (1999)</t>
  </si>
  <si>
    <t>Schizophrenia costs (1999)</t>
  </si>
  <si>
    <t>Major depression costs (1999)</t>
  </si>
  <si>
    <t>MEDICAID</t>
  </si>
  <si>
    <t>Excess annual health care costs 2019 (Medicaid) per person</t>
  </si>
  <si>
    <t>% of SMI population covered by Medicaid</t>
  </si>
  <si>
    <t xml:space="preserve">https://rdas.samhsa.gov/#/survey/NSDUH-2018-2019-RD02YR?column=SMIYR_U&amp;control=STATE&amp;filter=STATE%3D18&amp;results_received=true&amp;row=CAIDCHIP&amp;run_chisq=false&amp;weight=DASWT_1 </t>
  </si>
  <si>
    <t>PRIVATE</t>
  </si>
  <si>
    <t>Excess annual health care costs 2019 (Private insurance) per person</t>
  </si>
  <si>
    <t>% of SMI population covered by Private</t>
  </si>
  <si>
    <t xml:space="preserve">https://rdas.samhsa.gov/#/survey/NSDUH-2018-2019-RD02YR?column=SMIYR_U&amp;control=STATE&amp;filter=STATE%3D18&amp;results_received=true&amp;row=PRVHLTIN&amp;run_chisq=false&amp;weight=DASWT_1 </t>
  </si>
  <si>
    <t>Source</t>
  </si>
  <si>
    <t>Total population Indiana (Age 5-17)</t>
  </si>
  <si>
    <t>https://www.stats.indiana.edu/stats_dpage/dpage.asp?id=71&amp;view_number=2&amp;menu_level=&amp;panel_number=</t>
  </si>
  <si>
    <t>Population of children without MI</t>
  </si>
  <si>
    <t>https://www.childhealthdata.org/browse/survey/results?q=7981&amp;r=16</t>
  </si>
  <si>
    <t>Population of children with MI</t>
  </si>
  <si>
    <t xml:space="preserve">https://www.childhealthdata.org/browse/survey/results?q=7734&amp;r=1&amp;r2=16&amp;g=812&amp;a=13391 </t>
  </si>
  <si>
    <t>https://www.childhealthdata.org/browse/survey/results?q=7734&amp;r=1&amp;r2=16&amp;g=812&amp;a=13391</t>
  </si>
  <si>
    <t>Juvenile</t>
  </si>
  <si>
    <t>https://en.wikipedia.org/wiki/Indiana_Department_of_Correction</t>
  </si>
  <si>
    <t>Population of children with untreated MI</t>
  </si>
  <si>
    <t>JUVENILE DETENTION</t>
  </si>
  <si>
    <t>https://ojjdp.ojp.gov/mpg/literature-review/mental-health-juvenile-justice-system.pdf</t>
  </si>
  <si>
    <t>2019 Cost per day for juvenile</t>
  </si>
  <si>
    <t>https://www.in.gov/idoc/files/FY19-Per-Diem.pdf</t>
  </si>
  <si>
    <t xml:space="preserve">Primary Education </t>
  </si>
  <si>
    <t>Average length of stay at juvenile correctional facility (days)</t>
  </si>
  <si>
    <t xml:space="preserve">https://www.iyi.org/wp-content/uploads/2021/03/Juvenile-Justice-Report_FINAL.pdf </t>
  </si>
  <si>
    <t xml:space="preserve">School age children </t>
  </si>
  <si>
    <t>Number of required instructional education days per year (Indiana)</t>
  </si>
  <si>
    <t xml:space="preserve">https://www2.ed.gov/about/inits/ed/non-public-education/regulation-map/indiana.html </t>
  </si>
  <si>
    <t>State cost per student per year</t>
  </si>
  <si>
    <t>https://inview.doe.in.gov/state/1088000000/finance</t>
  </si>
  <si>
    <t>State cost per student per day</t>
  </si>
  <si>
    <t>https://www.ncbi.nlm.nih.gov/pmc/articles/PMC5578874/</t>
  </si>
  <si>
    <t>Excess absent days (Years 1-12) due to mental illness</t>
  </si>
  <si>
    <t xml:space="preserve">https://journals.sagepub.com/doi/pdf/10.1177/0004944118823576 </t>
  </si>
  <si>
    <t>Total years lost to suicide (5-17 yrs of age)</t>
  </si>
  <si>
    <t>Total deaths (all-cause) among 5-17</t>
  </si>
  <si>
    <t>Average mortality rate</t>
  </si>
  <si>
    <t>Excess mortality rate due to mental illness</t>
  </si>
  <si>
    <t>Years life lost at age 18</t>
  </si>
  <si>
    <t>% of any MI population covered by Medicaid</t>
  </si>
  <si>
    <t>https://www.childhealthdata.org/browse/survey/results?q=7829&amp;r=16&amp;g=812</t>
  </si>
  <si>
    <t>% of any MI population covered by Private</t>
  </si>
  <si>
    <t>Other MI</t>
  </si>
  <si>
    <t>SMI</t>
  </si>
  <si>
    <t>Children</t>
  </si>
  <si>
    <t>Total</t>
  </si>
  <si>
    <t>Overall</t>
  </si>
  <si>
    <t>Homeless</t>
  </si>
  <si>
    <t>Chronic Homeless</t>
  </si>
  <si>
    <t>SMI DNHC Total</t>
  </si>
  <si>
    <t>Combined Homeless</t>
  </si>
  <si>
    <t>OMI DNHC Total</t>
  </si>
  <si>
    <t>Primary Education</t>
  </si>
  <si>
    <t>Children DNHC Total</t>
  </si>
  <si>
    <t>Productivity Losses</t>
  </si>
  <si>
    <t>SMI Indirect Total</t>
  </si>
  <si>
    <t>All-cause Mortality</t>
  </si>
  <si>
    <t>OMI Indirect Total</t>
  </si>
  <si>
    <t>Children Indirect Total</t>
  </si>
  <si>
    <t>Premature Mortality</t>
  </si>
  <si>
    <t>Caregiving Productivity Loss</t>
  </si>
  <si>
    <t>Caregiving Direct Healthcare</t>
  </si>
  <si>
    <t>SMI DHC Total</t>
  </si>
  <si>
    <t>Caregiving</t>
  </si>
  <si>
    <t>OMI DHC Total</t>
  </si>
  <si>
    <t>Medicaid healthcare</t>
  </si>
  <si>
    <t>Children DHC Total</t>
  </si>
  <si>
    <t>Private healthcare</t>
  </si>
  <si>
    <t>Healthcare</t>
  </si>
  <si>
    <t>Average length of stay for prison resident (days)</t>
  </si>
  <si>
    <t>Total labor force with other MI</t>
  </si>
  <si>
    <t>Average length of stay for prison resident (days) - (2.7 years)</t>
  </si>
  <si>
    <t>Other MI (LB)</t>
  </si>
  <si>
    <t>Other MI - Point estimate</t>
  </si>
  <si>
    <t>Other MI (UB)</t>
  </si>
  <si>
    <t>SMI (LB)</t>
  </si>
  <si>
    <t>SMI - Point estimate</t>
  </si>
  <si>
    <t>SMI (UB)</t>
  </si>
  <si>
    <t>Children (LB)</t>
  </si>
  <si>
    <t>Children - Point estimate</t>
  </si>
  <si>
    <t>Children (UB)</t>
  </si>
  <si>
    <t>Overall LB TOTAL</t>
  </si>
  <si>
    <t>Overall Point Estimate Total</t>
  </si>
  <si>
    <t>Overall UB TOTAL</t>
  </si>
  <si>
    <t>-</t>
  </si>
  <si>
    <t>Direct non-healthcare LB Total</t>
  </si>
  <si>
    <t>Direct non-healthcare PE Total</t>
  </si>
  <si>
    <t>Direct non-healthcare UB Total</t>
  </si>
  <si>
    <t>Indirect costs LB Total</t>
  </si>
  <si>
    <t>Indirect costs PE Total</t>
  </si>
  <si>
    <t>Indirect costs UB total</t>
  </si>
  <si>
    <t>Direct healthcare LB costs</t>
  </si>
  <si>
    <t>Direct healthcare PE total</t>
  </si>
  <si>
    <t>Direct healthcare UB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</si>
</sst>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0.000000"/>
    <numFmt numFmtId="167" formatCode="0.0000"/>
    <numFmt numFmtId="168" formatCode="0.000"/>
    <numFmt numFmtId="169" formatCode="0.00000"/>
    <numFmt numFmtId="170" formatCode="_(* #,##0_);_(* \(#,##0\);_(* &quot;-&quot;??_);_(@_)"/>
    <numFmt numFmtId="171" formatCode="0.0%"/>
    <numFmt numFmtId="172" formatCode="#,##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333333"/>
      <name val="Roboto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7030A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FFA72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99">
    <xf numFmtId="0" fontId="0" fillId="0" borderId="0" xfId="0"/>
    <xf numFmtId="0" fontId="4" fillId="0" borderId="0" xfId="2" applyAlignment="1"/>
    <xf numFmtId="3" fontId="0" fillId="0" borderId="0" xfId="0" applyNumberFormat="1"/>
    <xf numFmtId="0" fontId="0" fillId="2" borderId="0" xfId="0" applyFill="1"/>
    <xf numFmtId="0" fontId="0" fillId="3" borderId="0" xfId="0" applyFill="1"/>
    <xf numFmtId="0" fontId="3" fillId="0" borderId="0" xfId="0" applyFont="1"/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0" fillId="0" borderId="4" xfId="0" applyBorder="1"/>
    <xf numFmtId="0" fontId="0" fillId="0" borderId="5" xfId="0" applyBorder="1" applyAlignment="1">
      <alignment horizontal="center"/>
    </xf>
    <xf numFmtId="0" fontId="6" fillId="0" borderId="4" xfId="0" applyFont="1" applyBorder="1" applyAlignment="1">
      <alignment horizontal="right" wrapText="1"/>
    </xf>
    <xf numFmtId="0" fontId="0" fillId="0" borderId="5" xfId="0" applyBorder="1"/>
    <xf numFmtId="0" fontId="4" fillId="0" borderId="5" xfId="2" applyBorder="1" applyAlignment="1"/>
    <xf numFmtId="2" fontId="0" fillId="0" borderId="0" xfId="0" applyNumberFormat="1"/>
    <xf numFmtId="0" fontId="0" fillId="0" borderId="4" xfId="0" applyBorder="1" applyAlignment="1">
      <alignment horizontal="center" vertical="center" wrapText="1"/>
    </xf>
    <xf numFmtId="0" fontId="6" fillId="0" borderId="0" xfId="0" applyFont="1" applyAlignment="1">
      <alignment horizontal="right" wrapText="1"/>
    </xf>
    <xf numFmtId="44" fontId="0" fillId="0" borderId="0" xfId="1" applyFont="1" applyBorder="1" applyAlignment="1"/>
    <xf numFmtId="0" fontId="0" fillId="0" borderId="4" xfId="0" applyBorder="1" applyAlignment="1">
      <alignment horizontal="center" vertical="center"/>
    </xf>
    <xf numFmtId="0" fontId="0" fillId="3" borderId="5" xfId="0" applyFill="1" applyBorder="1"/>
    <xf numFmtId="164" fontId="0" fillId="0" borderId="0" xfId="1" applyNumberFormat="1" applyFont="1" applyBorder="1" applyAlignment="1"/>
    <xf numFmtId="0" fontId="0" fillId="0" borderId="6" xfId="0" applyBorder="1"/>
    <xf numFmtId="0" fontId="0" fillId="0" borderId="7" xfId="0" applyBorder="1"/>
    <xf numFmtId="44" fontId="0" fillId="0" borderId="0" xfId="0" applyNumberFormat="1"/>
    <xf numFmtId="0" fontId="2" fillId="4" borderId="0" xfId="0" applyFont="1" applyFill="1" applyAlignment="1">
      <alignment horizontal="center" vertical="center" wrapText="1"/>
    </xf>
    <xf numFmtId="0" fontId="0" fillId="4" borderId="0" xfId="0" applyFill="1"/>
    <xf numFmtId="0" fontId="0" fillId="4" borderId="5" xfId="0" applyFill="1" applyBorder="1"/>
    <xf numFmtId="0" fontId="2" fillId="4" borderId="4" xfId="0" applyFont="1" applyFill="1" applyBorder="1" applyAlignment="1">
      <alignment horizontal="center" vertical="center" wrapText="1"/>
    </xf>
    <xf numFmtId="0" fontId="4" fillId="0" borderId="0" xfId="2"/>
    <xf numFmtId="0" fontId="5" fillId="4" borderId="0" xfId="0" applyFont="1" applyFill="1"/>
    <xf numFmtId="0" fontId="2" fillId="4" borderId="0" xfId="0" applyFont="1" applyFill="1" applyAlignment="1">
      <alignment horizontal="center" vertical="center"/>
    </xf>
    <xf numFmtId="0" fontId="0" fillId="6" borderId="0" xfId="0" applyFill="1"/>
    <xf numFmtId="0" fontId="2" fillId="4" borderId="0" xfId="0" applyFont="1" applyFill="1" applyAlignment="1">
      <alignment wrapText="1"/>
    </xf>
    <xf numFmtId="0" fontId="0" fillId="7" borderId="0" xfId="0" applyFill="1"/>
    <xf numFmtId="0" fontId="2" fillId="0" borderId="0" xfId="0" applyFont="1" applyAlignment="1">
      <alignment horizontal="center" vertical="center"/>
    </xf>
    <xf numFmtId="0" fontId="0" fillId="8" borderId="0" xfId="0" applyFill="1"/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0" fillId="6" borderId="5" xfId="0" applyFill="1" applyBorder="1"/>
    <xf numFmtId="0" fontId="4" fillId="0" borderId="0" xfId="2" applyBorder="1"/>
    <xf numFmtId="0" fontId="4" fillId="0" borderId="5" xfId="2" applyBorder="1"/>
    <xf numFmtId="44" fontId="0" fillId="0" borderId="0" xfId="1" applyFont="1" applyBorder="1"/>
    <xf numFmtId="0" fontId="0" fillId="7" borderId="5" xfId="0" applyFill="1" applyBorder="1"/>
    <xf numFmtId="0" fontId="0" fillId="8" borderId="5" xfId="0" applyFill="1" applyBorder="1"/>
    <xf numFmtId="0" fontId="2" fillId="2" borderId="0" xfId="0" applyFont="1" applyFill="1"/>
    <xf numFmtId="0" fontId="2" fillId="3" borderId="0" xfId="0" applyFont="1" applyFill="1"/>
    <xf numFmtId="0" fontId="2" fillId="6" borderId="0" xfId="0" applyFont="1" applyFill="1"/>
    <xf numFmtId="0" fontId="2" fillId="7" borderId="0" xfId="0" applyFont="1" applyFill="1"/>
    <xf numFmtId="0" fontId="2" fillId="8" borderId="0" xfId="0" applyFont="1" applyFill="1"/>
    <xf numFmtId="0" fontId="2" fillId="2" borderId="4" xfId="0" applyFont="1" applyFill="1" applyBorder="1"/>
    <xf numFmtId="0" fontId="2" fillId="3" borderId="4" xfId="0" applyFont="1" applyFill="1" applyBorder="1"/>
    <xf numFmtId="0" fontId="2" fillId="6" borderId="4" xfId="0" applyFont="1" applyFill="1" applyBorder="1"/>
    <xf numFmtId="0" fontId="2" fillId="7" borderId="4" xfId="0" applyFont="1" applyFill="1" applyBorder="1"/>
    <xf numFmtId="0" fontId="2" fillId="8" borderId="4" xfId="0" applyFont="1" applyFill="1" applyBorder="1"/>
    <xf numFmtId="1" fontId="0" fillId="0" borderId="0" xfId="0" applyNumberFormat="1"/>
    <xf numFmtId="165" fontId="0" fillId="0" borderId="0" xfId="0" applyNumberFormat="1"/>
    <xf numFmtId="0" fontId="6" fillId="0" borderId="4" xfId="0" applyFont="1" applyBorder="1" applyAlignment="1">
      <alignment wrapText="1"/>
    </xf>
    <xf numFmtId="167" fontId="0" fillId="0" borderId="0" xfId="0" applyNumberFormat="1"/>
    <xf numFmtId="164" fontId="0" fillId="0" borderId="0" xfId="1" applyNumberFormat="1" applyFont="1" applyBorder="1"/>
    <xf numFmtId="0" fontId="4" fillId="0" borderId="8" xfId="2" applyBorder="1"/>
    <xf numFmtId="44" fontId="0" fillId="0" borderId="0" xfId="1" applyFont="1"/>
    <xf numFmtId="0" fontId="0" fillId="0" borderId="4" xfId="0" applyBorder="1" applyAlignment="1">
      <alignment horizontal="center"/>
    </xf>
    <xf numFmtId="0" fontId="0" fillId="0" borderId="4" xfId="0" applyBorder="1" applyAlignment="1">
      <alignment wrapText="1"/>
    </xf>
    <xf numFmtId="0" fontId="7" fillId="0" borderId="4" xfId="0" applyFont="1" applyBorder="1"/>
    <xf numFmtId="0" fontId="2" fillId="0" borderId="4" xfId="0" applyFont="1" applyBorder="1"/>
    <xf numFmtId="165" fontId="0" fillId="3" borderId="0" xfId="0" applyNumberFormat="1" applyFill="1"/>
    <xf numFmtId="165" fontId="5" fillId="4" borderId="0" xfId="0" applyNumberFormat="1" applyFont="1" applyFill="1"/>
    <xf numFmtId="165" fontId="0" fillId="6" borderId="0" xfId="0" applyNumberFormat="1" applyFill="1"/>
    <xf numFmtId="166" fontId="0" fillId="0" borderId="0" xfId="0" applyNumberFormat="1"/>
    <xf numFmtId="44" fontId="0" fillId="3" borderId="0" xfId="1" applyFont="1" applyFill="1"/>
    <xf numFmtId="44" fontId="5" fillId="4" borderId="0" xfId="1" applyFont="1" applyFill="1"/>
    <xf numFmtId="44" fontId="0" fillId="6" borderId="0" xfId="1" applyFont="1" applyFill="1"/>
    <xf numFmtId="44" fontId="0" fillId="7" borderId="0" xfId="1" applyFont="1" applyFill="1"/>
    <xf numFmtId="44" fontId="0" fillId="0" borderId="0" xfId="1" applyFont="1" applyFill="1"/>
    <xf numFmtId="44" fontId="0" fillId="8" borderId="0" xfId="1" applyFont="1" applyFill="1"/>
    <xf numFmtId="1" fontId="0" fillId="0" borderId="0" xfId="1" applyNumberFormat="1" applyFont="1" applyBorder="1"/>
    <xf numFmtId="9" fontId="0" fillId="0" borderId="0" xfId="3" applyFont="1" applyBorder="1"/>
    <xf numFmtId="1" fontId="0" fillId="3" borderId="0" xfId="0" applyNumberFormat="1" applyFill="1"/>
    <xf numFmtId="1" fontId="5" fillId="4" borderId="0" xfId="0" applyNumberFormat="1" applyFont="1" applyFill="1"/>
    <xf numFmtId="1" fontId="0" fillId="6" borderId="0" xfId="0" applyNumberFormat="1" applyFill="1"/>
    <xf numFmtId="1" fontId="0" fillId="7" borderId="0" xfId="0" applyNumberFormat="1" applyFill="1"/>
    <xf numFmtId="0" fontId="0" fillId="0" borderId="0" xfId="0" applyAlignment="1">
      <alignment horizontal="center" vertical="center" wrapText="1"/>
    </xf>
    <xf numFmtId="0" fontId="2" fillId="9" borderId="0" xfId="0" applyFont="1" applyFill="1"/>
    <xf numFmtId="0" fontId="0" fillId="9" borderId="0" xfId="0" applyFill="1"/>
    <xf numFmtId="0" fontId="2" fillId="9" borderId="4" xfId="0" applyFont="1" applyFill="1" applyBorder="1"/>
    <xf numFmtId="0" fontId="0" fillId="9" borderId="5" xfId="0" applyFill="1" applyBorder="1"/>
    <xf numFmtId="1" fontId="0" fillId="9" borderId="0" xfId="0" applyNumberFormat="1" applyFill="1"/>
    <xf numFmtId="44" fontId="0" fillId="9" borderId="0" xfId="1" applyFont="1" applyFill="1"/>
    <xf numFmtId="0" fontId="0" fillId="0" borderId="0" xfId="0" applyAlignment="1">
      <alignment vertical="top" wrapText="1"/>
    </xf>
    <xf numFmtId="0" fontId="2" fillId="4" borderId="0" xfId="0" applyFont="1" applyFill="1" applyAlignment="1">
      <alignment horizontal="center" vertical="top" wrapText="1"/>
    </xf>
    <xf numFmtId="0" fontId="0" fillId="2" borderId="0" xfId="0" applyFill="1" applyAlignment="1">
      <alignment vertical="top" wrapText="1"/>
    </xf>
    <xf numFmtId="0" fontId="0" fillId="3" borderId="0" xfId="0" applyFill="1" applyAlignment="1">
      <alignment vertical="top" wrapText="1"/>
    </xf>
    <xf numFmtId="0" fontId="5" fillId="4" borderId="0" xfId="0" applyFont="1" applyFill="1" applyAlignment="1">
      <alignment vertical="top" wrapText="1"/>
    </xf>
    <xf numFmtId="0" fontId="0" fillId="6" borderId="0" xfId="0" applyFill="1" applyAlignment="1">
      <alignment vertical="top" wrapText="1"/>
    </xf>
    <xf numFmtId="0" fontId="0" fillId="9" borderId="0" xfId="0" applyFill="1" applyAlignment="1">
      <alignment vertical="top" wrapText="1"/>
    </xf>
    <xf numFmtId="0" fontId="0" fillId="7" borderId="0" xfId="0" applyFill="1" applyAlignment="1">
      <alignment vertical="top" wrapText="1"/>
    </xf>
    <xf numFmtId="0" fontId="0" fillId="8" borderId="0" xfId="0" applyFill="1" applyAlignment="1">
      <alignment vertical="top" wrapText="1"/>
    </xf>
    <xf numFmtId="165" fontId="0" fillId="0" borderId="0" xfId="4" applyNumberFormat="1" applyFont="1" applyFill="1"/>
    <xf numFmtId="0" fontId="7" fillId="0" borderId="0" xfId="0" applyFont="1"/>
    <xf numFmtId="0" fontId="2" fillId="10" borderId="4" xfId="0" applyFont="1" applyFill="1" applyBorder="1"/>
    <xf numFmtId="0" fontId="0" fillId="0" borderId="0" xfId="0" applyAlignment="1">
      <alignment vertical="center"/>
    </xf>
    <xf numFmtId="0" fontId="2" fillId="0" borderId="0" xfId="0" applyFont="1" applyAlignment="1">
      <alignment horizontal="left"/>
    </xf>
    <xf numFmtId="0" fontId="2" fillId="4" borderId="0" xfId="0" applyFont="1" applyFill="1"/>
    <xf numFmtId="0" fontId="0" fillId="0" borderId="0" xfId="0" applyAlignment="1">
      <alignment horizontal="left"/>
    </xf>
    <xf numFmtId="169" fontId="0" fillId="0" borderId="0" xfId="1" applyNumberFormat="1" applyFont="1" applyBorder="1"/>
    <xf numFmtId="165" fontId="0" fillId="0" borderId="0" xfId="1" applyNumberFormat="1" applyFont="1" applyBorder="1"/>
    <xf numFmtId="44" fontId="0" fillId="0" borderId="0" xfId="0" applyNumberFormat="1" applyAlignment="1">
      <alignment horizontal="left"/>
    </xf>
    <xf numFmtId="0" fontId="0" fillId="0" borderId="4" xfId="0" applyBorder="1" applyAlignment="1">
      <alignment horizontal="center" wrapText="1"/>
    </xf>
    <xf numFmtId="0" fontId="4" fillId="11" borderId="5" xfId="2" applyFill="1" applyBorder="1"/>
    <xf numFmtId="0" fontId="2" fillId="11" borderId="4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4" borderId="0" xfId="0" applyFont="1" applyFill="1" applyAlignment="1">
      <alignment horizontal="left" vertical="center" wrapText="1"/>
    </xf>
    <xf numFmtId="0" fontId="2" fillId="12" borderId="0" xfId="0" applyFont="1" applyFill="1" applyAlignment="1">
      <alignment horizontal="center" vertical="center"/>
    </xf>
    <xf numFmtId="0" fontId="5" fillId="12" borderId="0" xfId="0" applyFont="1" applyFill="1"/>
    <xf numFmtId="1" fontId="5" fillId="12" borderId="0" xfId="0" applyNumberFormat="1" applyFont="1" applyFill="1"/>
    <xf numFmtId="165" fontId="5" fillId="12" borderId="0" xfId="0" applyNumberFormat="1" applyFont="1" applyFill="1"/>
    <xf numFmtId="44" fontId="5" fillId="12" borderId="0" xfId="1" applyFont="1" applyFill="1"/>
    <xf numFmtId="0" fontId="0" fillId="12" borderId="4" xfId="0" applyFill="1" applyBorder="1"/>
    <xf numFmtId="0" fontId="0" fillId="12" borderId="0" xfId="0" applyFill="1"/>
    <xf numFmtId="0" fontId="0" fillId="12" borderId="5" xfId="0" applyFill="1" applyBorder="1"/>
    <xf numFmtId="0" fontId="0" fillId="4" borderId="0" xfId="0" applyFill="1" applyAlignment="1">
      <alignment vertical="top" wrapText="1"/>
    </xf>
    <xf numFmtId="1" fontId="0" fillId="4" borderId="0" xfId="0" applyNumberFormat="1" applyFill="1"/>
    <xf numFmtId="165" fontId="0" fillId="4" borderId="0" xfId="0" applyNumberFormat="1" applyFill="1"/>
    <xf numFmtId="0" fontId="0" fillId="4" borderId="0" xfId="0" applyFill="1" applyAlignment="1">
      <alignment horizontal="left"/>
    </xf>
    <xf numFmtId="2" fontId="0" fillId="4" borderId="0" xfId="0" applyNumberFormat="1" applyFill="1"/>
    <xf numFmtId="44" fontId="0" fillId="4" borderId="0" xfId="1" applyFont="1" applyFill="1"/>
    <xf numFmtId="0" fontId="0" fillId="12" borderId="0" xfId="0" applyFill="1" applyAlignment="1">
      <alignment vertical="top" wrapText="1"/>
    </xf>
    <xf numFmtId="1" fontId="0" fillId="12" borderId="0" xfId="0" applyNumberFormat="1" applyFill="1"/>
    <xf numFmtId="165" fontId="0" fillId="12" borderId="0" xfId="0" applyNumberFormat="1" applyFill="1"/>
    <xf numFmtId="0" fontId="0" fillId="12" borderId="0" xfId="0" applyFill="1" applyAlignment="1">
      <alignment horizontal="left"/>
    </xf>
    <xf numFmtId="2" fontId="0" fillId="12" borderId="0" xfId="0" applyNumberFormat="1" applyFill="1"/>
    <xf numFmtId="44" fontId="0" fillId="12" borderId="0" xfId="1" applyFont="1" applyFill="1"/>
    <xf numFmtId="0" fontId="4" fillId="0" borderId="5" xfId="2" applyFill="1" applyBorder="1"/>
    <xf numFmtId="0" fontId="0" fillId="13" borderId="5" xfId="0" applyFill="1" applyBorder="1"/>
    <xf numFmtId="0" fontId="2" fillId="12" borderId="4" xfId="0" applyFont="1" applyFill="1" applyBorder="1" applyAlignment="1">
      <alignment horizontal="center" vertical="center"/>
    </xf>
    <xf numFmtId="0" fontId="0" fillId="0" borderId="1" xfId="0" applyBorder="1"/>
    <xf numFmtId="0" fontId="0" fillId="0" borderId="9" xfId="0" applyBorder="1"/>
    <xf numFmtId="0" fontId="0" fillId="0" borderId="15" xfId="0" applyBorder="1"/>
    <xf numFmtId="0" fontId="0" fillId="0" borderId="12" xfId="0" applyBorder="1"/>
    <xf numFmtId="0" fontId="4" fillId="0" borderId="0" xfId="2" applyBorder="1" applyAlignment="1"/>
    <xf numFmtId="0" fontId="4" fillId="11" borderId="0" xfId="2" applyFill="1" applyBorder="1"/>
    <xf numFmtId="0" fontId="4" fillId="0" borderId="7" xfId="2" applyBorder="1"/>
    <xf numFmtId="0" fontId="5" fillId="5" borderId="3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168" fontId="0" fillId="0" borderId="0" xfId="0" applyNumberFormat="1"/>
    <xf numFmtId="0" fontId="6" fillId="0" borderId="0" xfId="0" applyFont="1" applyAlignment="1">
      <alignment horizontal="right" vertical="top" wrapText="1"/>
    </xf>
    <xf numFmtId="0" fontId="0" fillId="3" borderId="0" xfId="0" applyFill="1" applyAlignment="1">
      <alignment horizontal="right" wrapText="1"/>
    </xf>
    <xf numFmtId="0" fontId="6" fillId="6" borderId="0" xfId="0" applyFont="1" applyFill="1" applyAlignment="1">
      <alignment horizontal="right" wrapText="1"/>
    </xf>
    <xf numFmtId="0" fontId="6" fillId="0" borderId="0" xfId="0" applyFont="1"/>
    <xf numFmtId="169" fontId="0" fillId="0" borderId="0" xfId="0" applyNumberFormat="1"/>
    <xf numFmtId="0" fontId="6" fillId="0" borderId="0" xfId="0" applyFont="1" applyAlignment="1">
      <alignment horizontal="right"/>
    </xf>
    <xf numFmtId="0" fontId="6" fillId="11" borderId="0" xfId="0" applyFont="1" applyFill="1" applyAlignment="1">
      <alignment horizontal="right"/>
    </xf>
    <xf numFmtId="0" fontId="0" fillId="11" borderId="0" xfId="0" applyFill="1"/>
    <xf numFmtId="0" fontId="0" fillId="10" borderId="0" xfId="0" applyFill="1"/>
    <xf numFmtId="0" fontId="4" fillId="0" borderId="0" xfId="2" applyFill="1" applyBorder="1" applyAlignment="1"/>
    <xf numFmtId="0" fontId="4" fillId="0" borderId="0" xfId="2" applyFill="1" applyBorder="1"/>
    <xf numFmtId="0" fontId="0" fillId="13" borderId="0" xfId="0" applyFill="1"/>
    <xf numFmtId="0" fontId="6" fillId="10" borderId="0" xfId="0" applyFont="1" applyFill="1" applyAlignment="1">
      <alignment horizontal="right" wrapText="1"/>
    </xf>
    <xf numFmtId="0" fontId="0" fillId="0" borderId="0" xfId="0" applyAlignment="1">
      <alignment horizontal="right" wrapText="1"/>
    </xf>
    <xf numFmtId="0" fontId="11" fillId="0" borderId="0" xfId="0" applyFont="1"/>
    <xf numFmtId="0" fontId="2" fillId="0" borderId="0" xfId="0" applyFont="1"/>
    <xf numFmtId="0" fontId="7" fillId="0" borderId="5" xfId="0" applyFont="1" applyBorder="1"/>
    <xf numFmtId="0" fontId="10" fillId="0" borderId="0" xfId="0" applyFont="1"/>
    <xf numFmtId="0" fontId="0" fillId="0" borderId="8" xfId="0" applyBorder="1"/>
    <xf numFmtId="0" fontId="7" fillId="0" borderId="8" xfId="5" applyFont="1" applyBorder="1"/>
    <xf numFmtId="0" fontId="0" fillId="10" borderId="5" xfId="0" applyFill="1" applyBorder="1"/>
    <xf numFmtId="44" fontId="0" fillId="0" borderId="0" xfId="1" applyFont="1" applyAlignment="1">
      <alignment horizontal="center"/>
    </xf>
    <xf numFmtId="44" fontId="0" fillId="0" borderId="0" xfId="1" applyFont="1" applyAlignment="1">
      <alignment horizontal="left"/>
    </xf>
    <xf numFmtId="0" fontId="2" fillId="0" borderId="0" xfId="0" applyFont="1" applyAlignment="1">
      <alignment horizontal="center"/>
    </xf>
    <xf numFmtId="44" fontId="2" fillId="0" borderId="0" xfId="0" applyNumberFormat="1" applyFont="1" applyAlignment="1">
      <alignment horizontal="center"/>
    </xf>
    <xf numFmtId="170" fontId="6" fillId="0" borderId="4" xfId="0" applyNumberFormat="1" applyFont="1" applyBorder="1" applyAlignment="1">
      <alignment horizontal="right" wrapText="1"/>
    </xf>
    <xf numFmtId="170" fontId="0" fillId="0" borderId="0" xfId="0" applyNumberFormat="1"/>
    <xf numFmtId="171" fontId="0" fillId="0" borderId="0" xfId="3" applyNumberFormat="1" applyFont="1" applyBorder="1"/>
    <xf numFmtId="164" fontId="0" fillId="0" borderId="0" xfId="0" applyNumberFormat="1"/>
    <xf numFmtId="164" fontId="0" fillId="0" borderId="0" xfId="0" applyNumberFormat="1" applyAlignment="1">
      <alignment horizontal="center"/>
    </xf>
    <xf numFmtId="164" fontId="0" fillId="0" borderId="10" xfId="0" applyNumberFormat="1" applyBorder="1"/>
    <xf numFmtId="164" fontId="0" fillId="0" borderId="11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164" fontId="0" fillId="0" borderId="5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13" xfId="0" applyNumberFormat="1" applyBorder="1"/>
    <xf numFmtId="164" fontId="0" fillId="0" borderId="14" xfId="0" applyNumberFormat="1" applyBorder="1"/>
    <xf numFmtId="164" fontId="0" fillId="0" borderId="2" xfId="0" applyNumberFormat="1" applyFill="1" applyBorder="1"/>
    <xf numFmtId="172" fontId="0" fillId="0" borderId="0" xfId="0" applyNumberFormat="1"/>
    <xf numFmtId="0" fontId="5" fillId="5" borderId="1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wrapText="1"/>
    </xf>
    <xf numFmtId="0" fontId="9" fillId="10" borderId="0" xfId="0" applyFont="1" applyFill="1" applyAlignment="1">
      <alignment horizontal="left"/>
    </xf>
    <xf numFmtId="0" fontId="0" fillId="10" borderId="0" xfId="0" applyFill="1" applyAlignment="1">
      <alignment horizontal="left"/>
    </xf>
    <xf numFmtId="0" fontId="2" fillId="7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/>
    </xf>
  </cellXfs>
  <cellStyles count="6">
    <cellStyle name="Comma" xfId="4" builtinId="3"/>
    <cellStyle name="Currency" xfId="1" builtinId="4"/>
    <cellStyle name="Explanatory Text" xfId="5" builtinId="53"/>
    <cellStyle name="Hyperlink" xfId="2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00CCFF"/>
      <color rgb="FFFF99FF"/>
      <color rgb="FFFF7C80"/>
      <color rgb="FFFFA725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pdas.samhsa.gov/" TargetMode="External"/><Relationship Id="rId18" Type="http://schemas.openxmlformats.org/officeDocument/2006/relationships/hyperlink" Target="https://www.bls.gov/oes/2019/may/oes_in.htm" TargetMode="External"/><Relationship Id="rId26" Type="http://schemas.openxmlformats.org/officeDocument/2006/relationships/hyperlink" Target="https://content.govdelivery.com/accounts/INDWD/bulletins/258882e" TargetMode="External"/><Relationship Id="rId39" Type="http://schemas.openxmlformats.org/officeDocument/2006/relationships/hyperlink" Target="https://bjs.ojp.gov/content/pub/pdf/tssp18.pdf" TargetMode="External"/><Relationship Id="rId21" Type="http://schemas.openxmlformats.org/officeDocument/2006/relationships/hyperlink" Target="https://content.govdelivery.com/accounts/INDWD/bulletins/258882e" TargetMode="External"/><Relationship Id="rId34" Type="http://schemas.openxmlformats.org/officeDocument/2006/relationships/hyperlink" Target="https://www.caregiving.org/wp-content/uploads/2020/05/NAC_Mental_Illness_Study_2016_FINAL_WEB.pdf" TargetMode="External"/><Relationship Id="rId42" Type="http://schemas.openxmlformats.org/officeDocument/2006/relationships/printerSettings" Target="../printerSettings/printerSettings1.bin"/><Relationship Id="rId7" Type="http://schemas.openxmlformats.org/officeDocument/2006/relationships/hyperlink" Target="https://nicic.gov/state-statistics/2019/indiana-2019" TargetMode="External"/><Relationship Id="rId2" Type="http://schemas.openxmlformats.org/officeDocument/2006/relationships/hyperlink" Target="https://faqs.in.gov/hc/en-us/articles/115005238288-How-much-does-it-cost-to-keep-an-offender-in-prison-" TargetMode="External"/><Relationship Id="rId16" Type="http://schemas.openxmlformats.org/officeDocument/2006/relationships/hyperlink" Target="https://www.caregiving.org/wp-content/uploads/2020/05/NAC_Mental_Illness_Study_2016_FINAL_WEB.pdf" TargetMode="External"/><Relationship Id="rId20" Type="http://schemas.openxmlformats.org/officeDocument/2006/relationships/hyperlink" Target="https://pubmed.ncbi.nlm.nih.gov/12813119/&#160;&#160;" TargetMode="External"/><Relationship Id="rId29" Type="http://schemas.openxmlformats.org/officeDocument/2006/relationships/hyperlink" Target="https://pdas.samhsa.gov/" TargetMode="External"/><Relationship Id="rId41" Type="http://schemas.openxmlformats.org/officeDocument/2006/relationships/hyperlink" Target="https://www.researchgate.net/publication/285782276_A_Journey_Home_What_Drives_How_Long_People_Are_Homeless?enrichId=rgreq-d214de295e0f67b92553707b1d6c4906-" TargetMode="External"/><Relationship Id="rId1" Type="http://schemas.openxmlformats.org/officeDocument/2006/relationships/hyperlink" Target="https://bjs.ojp.gov/content/pub/pdf/ji19.pdf&#160;&#160;" TargetMode="External"/><Relationship Id="rId6" Type="http://schemas.openxmlformats.org/officeDocument/2006/relationships/hyperlink" Target="https://nicic.gov/state-statistics/2019/indiana-2019" TargetMode="External"/><Relationship Id="rId11" Type="http://schemas.openxmlformats.org/officeDocument/2006/relationships/hyperlink" Target="https://www.nami.org/NAMI/media/NAMI-Media/StateFactSheets/IndianaStateFactSheet.pdf" TargetMode="External"/><Relationship Id="rId24" Type="http://schemas.openxmlformats.org/officeDocument/2006/relationships/hyperlink" Target="https://content.govdelivery.com/accounts/INDWD/bulletins/258882e" TargetMode="External"/><Relationship Id="rId32" Type="http://schemas.openxmlformats.org/officeDocument/2006/relationships/hyperlink" Target="https://rdas.samhsa.gov/" TargetMode="External"/><Relationship Id="rId37" Type="http://schemas.openxmlformats.org/officeDocument/2006/relationships/hyperlink" Target="https://www.bbrfoundation.org/blog/homelessness-and-mental-illness-challenge-our-society" TargetMode="External"/><Relationship Id="rId40" Type="http://schemas.openxmlformats.org/officeDocument/2006/relationships/hyperlink" Target="https://endhomelessness.org/homelessness-in-america/who-experiences-homelessness/chronically-homeless/" TargetMode="External"/><Relationship Id="rId5" Type="http://schemas.openxmlformats.org/officeDocument/2006/relationships/hyperlink" Target="https://pdas.samhsa.gov/" TargetMode="External"/><Relationship Id="rId15" Type="http://schemas.openxmlformats.org/officeDocument/2006/relationships/hyperlink" Target="https://www.bls.gov/oes/2019/may/oes_in.htm" TargetMode="External"/><Relationship Id="rId23" Type="http://schemas.openxmlformats.org/officeDocument/2006/relationships/hyperlink" Target="https://www.americashealthrankings.org/learn/reports/2019-annual-report/state-summaries-indiana" TargetMode="External"/><Relationship Id="rId28" Type="http://schemas.openxmlformats.org/officeDocument/2006/relationships/hyperlink" Target="http://www.iaaaa.org/its-national-family-caregivers-month-indiana-ranks-last-in-the-nation/" TargetMode="External"/><Relationship Id="rId36" Type="http://schemas.openxmlformats.org/officeDocument/2006/relationships/hyperlink" Target="https://www.caregiving.org/wp-content/uploads/2020/05/NAC_Mental_Illness_Study_2016_FINAL_WEB.pdf" TargetMode="External"/><Relationship Id="rId10" Type="http://schemas.openxmlformats.org/officeDocument/2006/relationships/hyperlink" Target="https://www.nami.org/NAMI/media/NAMI-Media/StateFactSheets/IndianaStateFactSheet.pdf" TargetMode="External"/><Relationship Id="rId19" Type="http://schemas.openxmlformats.org/officeDocument/2006/relationships/hyperlink" Target="https://pubmed.ncbi.nlm.nih.gov/12813119/" TargetMode="External"/><Relationship Id="rId31" Type="http://schemas.openxmlformats.org/officeDocument/2006/relationships/hyperlink" Target="https://www.sciencedirect.com/science/article/abs/pii/S0277953604006446" TargetMode="External"/><Relationship Id="rId4" Type="http://schemas.openxmlformats.org/officeDocument/2006/relationships/hyperlink" Target="https://pdas.samhsa.gov/" TargetMode="External"/><Relationship Id="rId9" Type="http://schemas.openxmlformats.org/officeDocument/2006/relationships/hyperlink" Target="https://www.bls.gov/oes/2019/may/oes_in.htm" TargetMode="External"/><Relationship Id="rId14" Type="http://schemas.openxmlformats.org/officeDocument/2006/relationships/hyperlink" Target="https://wonder.cdc.gov/ucd-icd10.html" TargetMode="External"/><Relationship Id="rId22" Type="http://schemas.openxmlformats.org/officeDocument/2006/relationships/hyperlink" Target="https://www.bls.gov/oes/2019/may/oes_in.htm" TargetMode="External"/><Relationship Id="rId27" Type="http://schemas.openxmlformats.org/officeDocument/2006/relationships/hyperlink" Target="https://www.bls.gov/oes/2019/may/oes_in.htm" TargetMode="External"/><Relationship Id="rId30" Type="http://schemas.openxmlformats.org/officeDocument/2006/relationships/hyperlink" Target="https://www.who.int/mental_health/management/info_sheet.pdf" TargetMode="External"/><Relationship Id="rId35" Type="http://schemas.openxmlformats.org/officeDocument/2006/relationships/hyperlink" Target="https://www.caregiving.org/wp-content/uploads/2020/05/NAC_Mental_Illness_Study_2016_FINAL_WEB.pdf" TargetMode="External"/><Relationship Id="rId8" Type="http://schemas.openxmlformats.org/officeDocument/2006/relationships/hyperlink" Target="https://www.usich.gov/homelessness-statistics/in/" TargetMode="External"/><Relationship Id="rId3" Type="http://schemas.openxmlformats.org/officeDocument/2006/relationships/hyperlink" Target="https://staging.vera.org/publications/what-jails-cost-statewide/indiana" TargetMode="External"/><Relationship Id="rId12" Type="http://schemas.openxmlformats.org/officeDocument/2006/relationships/hyperlink" Target="https://pdas.samhsa.gov/" TargetMode="External"/><Relationship Id="rId17" Type="http://schemas.openxmlformats.org/officeDocument/2006/relationships/hyperlink" Target="https://ppidb.iu.edu/Uploads/PublicationFiles/cost-of-homelessness-2016.pdf" TargetMode="External"/><Relationship Id="rId25" Type="http://schemas.openxmlformats.org/officeDocument/2006/relationships/hyperlink" Target="https://content.govdelivery.com/accounts/INDWD/bulletins/258882e" TargetMode="External"/><Relationship Id="rId33" Type="http://schemas.openxmlformats.org/officeDocument/2006/relationships/hyperlink" Target="https://rdas.samhsa.gov/" TargetMode="External"/><Relationship Id="rId38" Type="http://schemas.openxmlformats.org/officeDocument/2006/relationships/hyperlink" Target="https://www.stats.indiana.edu/profiles/profiles.asp?scope_choice=a&amp;county_changer=18000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yi.org/wp-content/uploads/2021/03/Juvenile-Justice-Report_FINAL.pdf" TargetMode="External"/><Relationship Id="rId13" Type="http://schemas.openxmlformats.org/officeDocument/2006/relationships/hyperlink" Target="https://www.childhealthdata.org/browse/survey/results?q=7829&amp;r=16&amp;g=812" TargetMode="External"/><Relationship Id="rId3" Type="http://schemas.openxmlformats.org/officeDocument/2006/relationships/hyperlink" Target="https://wonder.cdc.gov/ucd-icd10.html" TargetMode="External"/><Relationship Id="rId7" Type="http://schemas.openxmlformats.org/officeDocument/2006/relationships/hyperlink" Target="https://ojjdp.ojp.gov/mpg/literature-review/mental-health-juvenile-justice-system.pdf" TargetMode="External"/><Relationship Id="rId12" Type="http://schemas.openxmlformats.org/officeDocument/2006/relationships/hyperlink" Target="https://www.ncbi.nlm.nih.gov/pmc/articles/PMC5578874/" TargetMode="External"/><Relationship Id="rId2" Type="http://schemas.openxmlformats.org/officeDocument/2006/relationships/hyperlink" Target="https://www.in.gov/idoc/files/FY19-Per-Diem.pdf" TargetMode="External"/><Relationship Id="rId1" Type="http://schemas.openxmlformats.org/officeDocument/2006/relationships/hyperlink" Target="https://www.childhealthdata.org/browse/survey/results?q=7734&amp;r=1&amp;r2=16&amp;g=812&amp;a=13391" TargetMode="External"/><Relationship Id="rId6" Type="http://schemas.openxmlformats.org/officeDocument/2006/relationships/hyperlink" Target="https://www.bls.gov/oes/2019/may/oes_in.htm" TargetMode="External"/><Relationship Id="rId11" Type="http://schemas.openxmlformats.org/officeDocument/2006/relationships/hyperlink" Target="https://inview.doe.in.gov/state/1088000000/finance" TargetMode="External"/><Relationship Id="rId5" Type="http://schemas.openxmlformats.org/officeDocument/2006/relationships/hyperlink" Target="https://journals.sagepub.com/doi/pdf/10.1177/0004944118823576" TargetMode="External"/><Relationship Id="rId10" Type="http://schemas.openxmlformats.org/officeDocument/2006/relationships/hyperlink" Target="https://www.childhealthdata.org/browse/survey/results?q=7981&amp;r=16" TargetMode="External"/><Relationship Id="rId4" Type="http://schemas.openxmlformats.org/officeDocument/2006/relationships/hyperlink" Target="https://wonder.cdc.gov/ucd-icd10.html" TargetMode="External"/><Relationship Id="rId9" Type="http://schemas.openxmlformats.org/officeDocument/2006/relationships/hyperlink" Target="https://www2.ed.gov/about/inits/ed/non-public-education/regulation-map/indiana.html" TargetMode="External"/><Relationship Id="rId14" Type="http://schemas.openxmlformats.org/officeDocument/2006/relationships/hyperlink" Target="https://www.childhealthdata.org/browse/survey/results?q=7829&amp;r=16&amp;g=812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onder.cdc.gov/ucd-icd10.html" TargetMode="External"/><Relationship Id="rId18" Type="http://schemas.openxmlformats.org/officeDocument/2006/relationships/hyperlink" Target="https://www.sciencedirect.com/science/article/abs/pii/S0277953604006446" TargetMode="External"/><Relationship Id="rId26" Type="http://schemas.openxmlformats.org/officeDocument/2006/relationships/hyperlink" Target="https://content.govdelivery.com/accounts/INDWD/bulletins/258882e" TargetMode="External"/><Relationship Id="rId39" Type="http://schemas.openxmlformats.org/officeDocument/2006/relationships/hyperlink" Target="https://www.researchgate.net/publication/285782276_A_Journey_Home_What_Drives_How_Long_People_Are_Homeless?enrichId=rgreq-d214de295e0f67b92553707b1d6c4906-" TargetMode="External"/><Relationship Id="rId21" Type="http://schemas.openxmlformats.org/officeDocument/2006/relationships/hyperlink" Target="https://www.psychiatrist.com/read-pdf/5390/&#160;&#160;" TargetMode="External"/><Relationship Id="rId34" Type="http://schemas.openxmlformats.org/officeDocument/2006/relationships/hyperlink" Target="https://pdas.samhsa.gov/" TargetMode="External"/><Relationship Id="rId7" Type="http://schemas.openxmlformats.org/officeDocument/2006/relationships/hyperlink" Target="https://staging.vera.org/publications/what-jails-cost-statewide/indiana" TargetMode="External"/><Relationship Id="rId12" Type="http://schemas.openxmlformats.org/officeDocument/2006/relationships/hyperlink" Target="https://wonder.cdc.gov/ucd-icd10.html" TargetMode="External"/><Relationship Id="rId17" Type="http://schemas.openxmlformats.org/officeDocument/2006/relationships/hyperlink" Target="http://www.iaaaa.org/its-national-family-caregivers-month-indiana-ranks-last-in-the-nation/" TargetMode="External"/><Relationship Id="rId25" Type="http://schemas.openxmlformats.org/officeDocument/2006/relationships/hyperlink" Target="https://ps.psychiatryonline.org/doi/10.1176/appi.ps.201300335" TargetMode="External"/><Relationship Id="rId33" Type="http://schemas.openxmlformats.org/officeDocument/2006/relationships/hyperlink" Target="https://rdas.samhsa.gov/" TargetMode="External"/><Relationship Id="rId38" Type="http://schemas.openxmlformats.org/officeDocument/2006/relationships/hyperlink" Target="https://endhomelessness.org/homelessness-in-america/who-experiences-homelessness/chronically-homeless/" TargetMode="External"/><Relationship Id="rId2" Type="http://schemas.openxmlformats.org/officeDocument/2006/relationships/hyperlink" Target="https://ppidb.iu.edu/Uploads/PublicationFiles/cost-of-homelessness-2016.pdf" TargetMode="External"/><Relationship Id="rId16" Type="http://schemas.openxmlformats.org/officeDocument/2006/relationships/hyperlink" Target="https://www.caregiving.org/wp-content/uploads/2020/05/NAC_Mental_Illness_Study_2016_FINAL_WEB.pdf" TargetMode="External"/><Relationship Id="rId20" Type="http://schemas.openxmlformats.org/officeDocument/2006/relationships/hyperlink" Target="https://www.sciencedirect.com/science/article/abs/pii/S0277953604006446" TargetMode="External"/><Relationship Id="rId29" Type="http://schemas.openxmlformats.org/officeDocument/2006/relationships/hyperlink" Target="https://www.bls.gov/oes/2019/may/oes_in.htm" TargetMode="External"/><Relationship Id="rId1" Type="http://schemas.openxmlformats.org/officeDocument/2006/relationships/hyperlink" Target="https://www.nationalhomeless.org/factsheets/Mental_Illness.pdf;" TargetMode="External"/><Relationship Id="rId6" Type="http://schemas.openxmlformats.org/officeDocument/2006/relationships/hyperlink" Target="https://faqs.in.gov/hc/en-us/articles/115005238288-How-much-does-it-cost-to-keep-an-offender-in-prison-" TargetMode="External"/><Relationship Id="rId11" Type="http://schemas.openxmlformats.org/officeDocument/2006/relationships/hyperlink" Target="https://www.usich.gov/homelessness-statistics/in/" TargetMode="External"/><Relationship Id="rId24" Type="http://schemas.openxmlformats.org/officeDocument/2006/relationships/hyperlink" Target="https://www.bls.gov/oes/2019/may/oes_in.htm" TargetMode="External"/><Relationship Id="rId32" Type="http://schemas.openxmlformats.org/officeDocument/2006/relationships/hyperlink" Target="https://rdas.samhsa.gov/" TargetMode="External"/><Relationship Id="rId37" Type="http://schemas.openxmlformats.org/officeDocument/2006/relationships/hyperlink" Target="https://www.americashealthrankings.org/learn/reports/2019-annual-report/state-summaries-indiana" TargetMode="External"/><Relationship Id="rId40" Type="http://schemas.openxmlformats.org/officeDocument/2006/relationships/printerSettings" Target="../printerSettings/printerSettings2.bin"/><Relationship Id="rId5" Type="http://schemas.openxmlformats.org/officeDocument/2006/relationships/hyperlink" Target="https://bjs.ojp.gov/content/pub/pdf/ji19.pdf&#160;&#160;" TargetMode="External"/><Relationship Id="rId15" Type="http://schemas.openxmlformats.org/officeDocument/2006/relationships/hyperlink" Target="https://scholarscompass.vcu.edu/cgi/viewcontent.cgi?article=5791&amp;context=etd" TargetMode="External"/><Relationship Id="rId23" Type="http://schemas.openxmlformats.org/officeDocument/2006/relationships/hyperlink" Target="https://pubmed.ncbi.nlm.nih.gov/12813119/" TargetMode="External"/><Relationship Id="rId28" Type="http://schemas.openxmlformats.org/officeDocument/2006/relationships/hyperlink" Target="https://www.bls.gov/oes/2019/may/oes_in.htm" TargetMode="External"/><Relationship Id="rId36" Type="http://schemas.openxmlformats.org/officeDocument/2006/relationships/hyperlink" Target="https://www.stats.indiana.edu/profiles/profiles.asp?scope_choice=a&amp;county_changer=18000" TargetMode="External"/><Relationship Id="rId10" Type="http://schemas.openxmlformats.org/officeDocument/2006/relationships/hyperlink" Target="https://nicic.gov/state-statistics/2019/indiana-2019" TargetMode="External"/><Relationship Id="rId19" Type="http://schemas.openxmlformats.org/officeDocument/2006/relationships/hyperlink" Target="https://www.sciencedirect.com/science/article/abs/pii/S0277953604006446" TargetMode="External"/><Relationship Id="rId31" Type="http://schemas.openxmlformats.org/officeDocument/2006/relationships/hyperlink" Target="https://www.ncbi.nlm.nih.gov/pmc/articles/PMC6918821/" TargetMode="External"/><Relationship Id="rId4" Type="http://schemas.openxmlformats.org/officeDocument/2006/relationships/hyperlink" Target="https://bjs.ojp.gov/content/pub/pdf/imhprpji1112.pdf" TargetMode="External"/><Relationship Id="rId9" Type="http://schemas.openxmlformats.org/officeDocument/2006/relationships/hyperlink" Target="https://nicic.gov/state-statistics/2019/indiana-2019%20&#160;" TargetMode="External"/><Relationship Id="rId14" Type="http://schemas.openxmlformats.org/officeDocument/2006/relationships/hyperlink" Target="https://www.bls.gov/oes/2019/may/oes_in.htm" TargetMode="External"/><Relationship Id="rId22" Type="http://schemas.openxmlformats.org/officeDocument/2006/relationships/hyperlink" Target="https://pubmed.ncbi.nlm.nih.gov/12813119/" TargetMode="External"/><Relationship Id="rId27" Type="http://schemas.openxmlformats.org/officeDocument/2006/relationships/hyperlink" Target="https://content.govdelivery.com/accounts/INDWD/bulletins/258882e" TargetMode="External"/><Relationship Id="rId30" Type="http://schemas.openxmlformats.org/officeDocument/2006/relationships/hyperlink" Target="https://pdas.samhsa.gov/" TargetMode="External"/><Relationship Id="rId35" Type="http://schemas.openxmlformats.org/officeDocument/2006/relationships/hyperlink" Target="https://pdas.samhsa.gov/" TargetMode="External"/><Relationship Id="rId8" Type="http://schemas.openxmlformats.org/officeDocument/2006/relationships/hyperlink" Target="https://bjs.ojp.gov/content/pub/pdf/tssp18.pdf" TargetMode="External"/><Relationship Id="rId3" Type="http://schemas.openxmlformats.org/officeDocument/2006/relationships/hyperlink" Target="https://bjs.ojp.gov/content/pub/pdf/imhprpji1112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yi.org/wp-content/uploads/2021/03/Juvenile-Justice-Report_FINAL.pdf" TargetMode="External"/><Relationship Id="rId13" Type="http://schemas.openxmlformats.org/officeDocument/2006/relationships/hyperlink" Target="https://www.childhealthdata.org/browse/survey/results?q=7829&amp;r=16&amp;g=812" TargetMode="External"/><Relationship Id="rId3" Type="http://schemas.openxmlformats.org/officeDocument/2006/relationships/hyperlink" Target="https://wonder.cdc.gov/ucd-icd10.html" TargetMode="External"/><Relationship Id="rId7" Type="http://schemas.openxmlformats.org/officeDocument/2006/relationships/hyperlink" Target="https://ojjdp.ojp.gov/mpg/literature-review/mental-health-juvenile-justice-system.pdf" TargetMode="External"/><Relationship Id="rId12" Type="http://schemas.openxmlformats.org/officeDocument/2006/relationships/hyperlink" Target="https://www.ncbi.nlm.nih.gov/pmc/articles/PMC5578874/" TargetMode="External"/><Relationship Id="rId2" Type="http://schemas.openxmlformats.org/officeDocument/2006/relationships/hyperlink" Target="https://www.in.gov/idoc/files/FY19-Per-Diem.pdf" TargetMode="External"/><Relationship Id="rId1" Type="http://schemas.openxmlformats.org/officeDocument/2006/relationships/hyperlink" Target="https://www.childhealthdata.org/browse/survey/results?q=7734&amp;r=1&amp;r2=16&amp;g=812&amp;a=13391" TargetMode="External"/><Relationship Id="rId6" Type="http://schemas.openxmlformats.org/officeDocument/2006/relationships/hyperlink" Target="https://www.bls.gov/oes/2019/may/oes_in.htm" TargetMode="External"/><Relationship Id="rId11" Type="http://schemas.openxmlformats.org/officeDocument/2006/relationships/hyperlink" Target="https://inview.doe.in.gov/state/1088000000/finance" TargetMode="External"/><Relationship Id="rId5" Type="http://schemas.openxmlformats.org/officeDocument/2006/relationships/hyperlink" Target="https://journals.sagepub.com/doi/pdf/10.1177/0004944118823576" TargetMode="External"/><Relationship Id="rId15" Type="http://schemas.openxmlformats.org/officeDocument/2006/relationships/printerSettings" Target="../printerSettings/printerSettings3.bin"/><Relationship Id="rId10" Type="http://schemas.openxmlformats.org/officeDocument/2006/relationships/hyperlink" Target="https://www.childhealthdata.org/browse/survey/results?q=7981&amp;r=16" TargetMode="External"/><Relationship Id="rId4" Type="http://schemas.openxmlformats.org/officeDocument/2006/relationships/hyperlink" Target="https://wonder.cdc.gov/ucd-icd10.html" TargetMode="External"/><Relationship Id="rId9" Type="http://schemas.openxmlformats.org/officeDocument/2006/relationships/hyperlink" Target="https://www2.ed.gov/about/inits/ed/non-public-education/regulation-map/indiana.html" TargetMode="External"/><Relationship Id="rId14" Type="http://schemas.openxmlformats.org/officeDocument/2006/relationships/hyperlink" Target="https://www.childhealthdata.org/browse/survey/results?q=7829&amp;r=16&amp;g=812" TargetMode="Externa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pdas.samhsa.gov/" TargetMode="External"/><Relationship Id="rId18" Type="http://schemas.openxmlformats.org/officeDocument/2006/relationships/hyperlink" Target="https://www.bls.gov/oes/2019/may/oes_in.htm" TargetMode="External"/><Relationship Id="rId26" Type="http://schemas.openxmlformats.org/officeDocument/2006/relationships/hyperlink" Target="https://content.govdelivery.com/accounts/INDWD/bulletins/258882e" TargetMode="External"/><Relationship Id="rId39" Type="http://schemas.openxmlformats.org/officeDocument/2006/relationships/hyperlink" Target="https://bjs.ojp.gov/content/pub/pdf/tssp18.pdf" TargetMode="External"/><Relationship Id="rId21" Type="http://schemas.openxmlformats.org/officeDocument/2006/relationships/hyperlink" Target="https://content.govdelivery.com/accounts/INDWD/bulletins/258882e" TargetMode="External"/><Relationship Id="rId34" Type="http://schemas.openxmlformats.org/officeDocument/2006/relationships/hyperlink" Target="https://www.caregiving.org/wp-content/uploads/2020/05/NAC_Mental_Illness_Study_2016_FINAL_WEB.pdf" TargetMode="External"/><Relationship Id="rId7" Type="http://schemas.openxmlformats.org/officeDocument/2006/relationships/hyperlink" Target="https://nicic.gov/state-statistics/2019/indiana-2019%20&#160;" TargetMode="External"/><Relationship Id="rId2" Type="http://schemas.openxmlformats.org/officeDocument/2006/relationships/hyperlink" Target="https://faqs.in.gov/hc/en-us/articles/115005238288-How-much-does-it-cost-to-keep-an-offender-in-prison-" TargetMode="External"/><Relationship Id="rId16" Type="http://schemas.openxmlformats.org/officeDocument/2006/relationships/hyperlink" Target="https://www.caregiving.org/wp-content/uploads/2020/05/NAC_Mental_Illness_Study_2016_FINAL_WEB.pdf" TargetMode="External"/><Relationship Id="rId20" Type="http://schemas.openxmlformats.org/officeDocument/2006/relationships/hyperlink" Target="https://pubmed.ncbi.nlm.nih.gov/12813119/&#160;&#160;" TargetMode="External"/><Relationship Id="rId29" Type="http://schemas.openxmlformats.org/officeDocument/2006/relationships/hyperlink" Target="https://pdas.samhsa.gov/" TargetMode="External"/><Relationship Id="rId41" Type="http://schemas.openxmlformats.org/officeDocument/2006/relationships/hyperlink" Target="https://www.researchgate.net/publication/285782276_A_Journey_Home_What_Drives_How_Long_People_Are_Homeless?enrichId=rgreq-d214de295e0f67b92553707b1d6c4906-" TargetMode="External"/><Relationship Id="rId1" Type="http://schemas.openxmlformats.org/officeDocument/2006/relationships/hyperlink" Target="https://bjs.ojp.gov/content/pub/pdf/ji19.pdf&#160;&#160;" TargetMode="External"/><Relationship Id="rId6" Type="http://schemas.openxmlformats.org/officeDocument/2006/relationships/hyperlink" Target="https://nicic.gov/state-statistics/2019/indiana-2019" TargetMode="External"/><Relationship Id="rId11" Type="http://schemas.openxmlformats.org/officeDocument/2006/relationships/hyperlink" Target="https://www.nami.org/NAMI/media/NAMI-Media/StateFactSheets/IndianaStateFactSheet.pdf" TargetMode="External"/><Relationship Id="rId24" Type="http://schemas.openxmlformats.org/officeDocument/2006/relationships/hyperlink" Target="https://content.govdelivery.com/accounts/INDWD/bulletins/258882e" TargetMode="External"/><Relationship Id="rId32" Type="http://schemas.openxmlformats.org/officeDocument/2006/relationships/hyperlink" Target="https://rdas.samhsa.gov/" TargetMode="External"/><Relationship Id="rId37" Type="http://schemas.openxmlformats.org/officeDocument/2006/relationships/hyperlink" Target="https://www.bbrfoundation.org/blog/homelessness-and-mental-illness-challenge-our-society" TargetMode="External"/><Relationship Id="rId40" Type="http://schemas.openxmlformats.org/officeDocument/2006/relationships/hyperlink" Target="https://endhomelessness.org/homelessness-in-america/who-experiences-homelessness/chronically-homeless/" TargetMode="External"/><Relationship Id="rId5" Type="http://schemas.openxmlformats.org/officeDocument/2006/relationships/hyperlink" Target="https://pdas.samhsa.gov/" TargetMode="External"/><Relationship Id="rId15" Type="http://schemas.openxmlformats.org/officeDocument/2006/relationships/hyperlink" Target="https://www.bls.gov/oes/2019/may/oes_in.htm" TargetMode="External"/><Relationship Id="rId23" Type="http://schemas.openxmlformats.org/officeDocument/2006/relationships/hyperlink" Target="https://www.americashealthrankings.org/learn/reports/2019-annual-report/state-summaries-indiana" TargetMode="External"/><Relationship Id="rId28" Type="http://schemas.openxmlformats.org/officeDocument/2006/relationships/hyperlink" Target="http://www.iaaaa.org/its-national-family-caregivers-month-indiana-ranks-last-in-the-nation/" TargetMode="External"/><Relationship Id="rId36" Type="http://schemas.openxmlformats.org/officeDocument/2006/relationships/hyperlink" Target="https://www.caregiving.org/wp-content/uploads/2020/05/NAC_Mental_Illness_Study_2016_FINAL_WEB.pdf" TargetMode="External"/><Relationship Id="rId10" Type="http://schemas.openxmlformats.org/officeDocument/2006/relationships/hyperlink" Target="https://www.nami.org/NAMI/media/NAMI-Media/StateFactSheets/IndianaStateFactSheet.pdf" TargetMode="External"/><Relationship Id="rId19" Type="http://schemas.openxmlformats.org/officeDocument/2006/relationships/hyperlink" Target="https://pubmed.ncbi.nlm.nih.gov/12813119/" TargetMode="External"/><Relationship Id="rId31" Type="http://schemas.openxmlformats.org/officeDocument/2006/relationships/hyperlink" Target="https://www.sciencedirect.com/science/article/abs/pii/S0277953604006446" TargetMode="External"/><Relationship Id="rId4" Type="http://schemas.openxmlformats.org/officeDocument/2006/relationships/hyperlink" Target="https://pdas.samhsa.gov/" TargetMode="External"/><Relationship Id="rId9" Type="http://schemas.openxmlformats.org/officeDocument/2006/relationships/hyperlink" Target="https://www.bls.gov/oes/2019/may/oes_in.htm" TargetMode="External"/><Relationship Id="rId14" Type="http://schemas.openxmlformats.org/officeDocument/2006/relationships/hyperlink" Target="https://wonder.cdc.gov/ucd-icd10.html" TargetMode="External"/><Relationship Id="rId22" Type="http://schemas.openxmlformats.org/officeDocument/2006/relationships/hyperlink" Target="https://www.bls.gov/oes/2019/may/oes_in.htm" TargetMode="External"/><Relationship Id="rId27" Type="http://schemas.openxmlformats.org/officeDocument/2006/relationships/hyperlink" Target="https://www.bls.gov/oes/2019/may/oes_in.htm" TargetMode="External"/><Relationship Id="rId30" Type="http://schemas.openxmlformats.org/officeDocument/2006/relationships/hyperlink" Target="https://www.who.int/mental_health/management/info_sheet.pdf" TargetMode="External"/><Relationship Id="rId35" Type="http://schemas.openxmlformats.org/officeDocument/2006/relationships/hyperlink" Target="https://www.caregiving.org/wp-content/uploads/2020/05/NAC_Mental_Illness_Study_2016_FINAL_WEB.pdf" TargetMode="External"/><Relationship Id="rId8" Type="http://schemas.openxmlformats.org/officeDocument/2006/relationships/hyperlink" Target="https://www.usich.gov/homelessness-statistics/in/" TargetMode="External"/><Relationship Id="rId3" Type="http://schemas.openxmlformats.org/officeDocument/2006/relationships/hyperlink" Target="https://staging.vera.org/publications/what-jails-cost-statewide/indiana" TargetMode="External"/><Relationship Id="rId12" Type="http://schemas.openxmlformats.org/officeDocument/2006/relationships/hyperlink" Target="https://pdas.samhsa.gov/" TargetMode="External"/><Relationship Id="rId17" Type="http://schemas.openxmlformats.org/officeDocument/2006/relationships/hyperlink" Target="https://ppidb.iu.edu/Uploads/PublicationFiles/cost-of-homelessness-2016.pdf" TargetMode="External"/><Relationship Id="rId25" Type="http://schemas.openxmlformats.org/officeDocument/2006/relationships/hyperlink" Target="https://content.govdelivery.com/accounts/INDWD/bulletins/258882e" TargetMode="External"/><Relationship Id="rId33" Type="http://schemas.openxmlformats.org/officeDocument/2006/relationships/hyperlink" Target="https://rdas.samhsa.gov/" TargetMode="External"/><Relationship Id="rId38" Type="http://schemas.openxmlformats.org/officeDocument/2006/relationships/hyperlink" Target="https://www.stats.indiana.edu/profiles/profiles.asp?scope_choice=a&amp;county_changer=18000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onder.cdc.gov/ucd-icd10.html" TargetMode="External"/><Relationship Id="rId18" Type="http://schemas.openxmlformats.org/officeDocument/2006/relationships/hyperlink" Target="https://www.sciencedirect.com/science/article/abs/pii/S0277953604006446" TargetMode="External"/><Relationship Id="rId26" Type="http://schemas.openxmlformats.org/officeDocument/2006/relationships/hyperlink" Target="https://content.govdelivery.com/accounts/INDWD/bulletins/258882e" TargetMode="External"/><Relationship Id="rId39" Type="http://schemas.openxmlformats.org/officeDocument/2006/relationships/hyperlink" Target="https://www.researchgate.net/publication/285782276_A_Journey_Home_What_Drives_How_Long_People_Are_Homeless?enrichId=rgreq-d214de295e0f67b92553707b1d6c4906-" TargetMode="External"/><Relationship Id="rId21" Type="http://schemas.openxmlformats.org/officeDocument/2006/relationships/hyperlink" Target="https://www.psychiatrist.com/read-pdf/5390/&#160;&#160;" TargetMode="External"/><Relationship Id="rId34" Type="http://schemas.openxmlformats.org/officeDocument/2006/relationships/hyperlink" Target="https://pdas.samhsa.gov/" TargetMode="External"/><Relationship Id="rId7" Type="http://schemas.openxmlformats.org/officeDocument/2006/relationships/hyperlink" Target="https://staging.vera.org/publications/what-jails-cost-statewide/indiana" TargetMode="External"/><Relationship Id="rId12" Type="http://schemas.openxmlformats.org/officeDocument/2006/relationships/hyperlink" Target="https://wonder.cdc.gov/ucd-icd10.html" TargetMode="External"/><Relationship Id="rId17" Type="http://schemas.openxmlformats.org/officeDocument/2006/relationships/hyperlink" Target="http://www.iaaaa.org/its-national-family-caregivers-month-indiana-ranks-last-in-the-nation/" TargetMode="External"/><Relationship Id="rId25" Type="http://schemas.openxmlformats.org/officeDocument/2006/relationships/hyperlink" Target="https://ps.psychiatryonline.org/doi/10.1176/appi.ps.201300335" TargetMode="External"/><Relationship Id="rId33" Type="http://schemas.openxmlformats.org/officeDocument/2006/relationships/hyperlink" Target="https://rdas.samhsa.gov/" TargetMode="External"/><Relationship Id="rId38" Type="http://schemas.openxmlformats.org/officeDocument/2006/relationships/hyperlink" Target="https://endhomelessness.org/homelessness-in-america/who-experiences-homelessness/chronically-homeless/" TargetMode="External"/><Relationship Id="rId2" Type="http://schemas.openxmlformats.org/officeDocument/2006/relationships/hyperlink" Target="https://ppidb.iu.edu/Uploads/PublicationFiles/cost-of-homelessness-2016.pdf" TargetMode="External"/><Relationship Id="rId16" Type="http://schemas.openxmlformats.org/officeDocument/2006/relationships/hyperlink" Target="https://www.caregiving.org/wp-content/uploads/2020/05/NAC_Mental_Illness_Study_2016_FINAL_WEB.pdf" TargetMode="External"/><Relationship Id="rId20" Type="http://schemas.openxmlformats.org/officeDocument/2006/relationships/hyperlink" Target="https://www.sciencedirect.com/science/article/abs/pii/S0277953604006446" TargetMode="External"/><Relationship Id="rId29" Type="http://schemas.openxmlformats.org/officeDocument/2006/relationships/hyperlink" Target="https://www.bls.gov/oes/2019/may/oes_in.htm" TargetMode="External"/><Relationship Id="rId1" Type="http://schemas.openxmlformats.org/officeDocument/2006/relationships/hyperlink" Target="https://www.nationalhomeless.org/factsheets/Mental_Illness.pdf;" TargetMode="External"/><Relationship Id="rId6" Type="http://schemas.openxmlformats.org/officeDocument/2006/relationships/hyperlink" Target="https://faqs.in.gov/hc/en-us/articles/115005238288-How-much-does-it-cost-to-keep-an-offender-in-prison-" TargetMode="External"/><Relationship Id="rId11" Type="http://schemas.openxmlformats.org/officeDocument/2006/relationships/hyperlink" Target="https://www.usich.gov/homelessness-statistics/in/" TargetMode="External"/><Relationship Id="rId24" Type="http://schemas.openxmlformats.org/officeDocument/2006/relationships/hyperlink" Target="https://www.bls.gov/oes/2019/may/oes_in.htm" TargetMode="External"/><Relationship Id="rId32" Type="http://schemas.openxmlformats.org/officeDocument/2006/relationships/hyperlink" Target="https://rdas.samhsa.gov/" TargetMode="External"/><Relationship Id="rId37" Type="http://schemas.openxmlformats.org/officeDocument/2006/relationships/hyperlink" Target="https://www.americashealthrankings.org/learn/reports/2019-annual-report/state-summaries-indiana" TargetMode="External"/><Relationship Id="rId5" Type="http://schemas.openxmlformats.org/officeDocument/2006/relationships/hyperlink" Target="https://bjs.ojp.gov/content/pub/pdf/ji19.pdf&#160;&#160;" TargetMode="External"/><Relationship Id="rId15" Type="http://schemas.openxmlformats.org/officeDocument/2006/relationships/hyperlink" Target="https://scholarscompass.vcu.edu/cgi/viewcontent.cgi?article=5791&amp;context=etd" TargetMode="External"/><Relationship Id="rId23" Type="http://schemas.openxmlformats.org/officeDocument/2006/relationships/hyperlink" Target="https://pubmed.ncbi.nlm.nih.gov/12813119/" TargetMode="External"/><Relationship Id="rId28" Type="http://schemas.openxmlformats.org/officeDocument/2006/relationships/hyperlink" Target="https://www.bls.gov/oes/2019/may/oes_in.htm" TargetMode="External"/><Relationship Id="rId36" Type="http://schemas.openxmlformats.org/officeDocument/2006/relationships/hyperlink" Target="https://www.stats.indiana.edu/profiles/profiles.asp?scope_choice=a&amp;county_changer=18000" TargetMode="External"/><Relationship Id="rId10" Type="http://schemas.openxmlformats.org/officeDocument/2006/relationships/hyperlink" Target="https://nicic.gov/state-statistics/2019/indiana-2019" TargetMode="External"/><Relationship Id="rId19" Type="http://schemas.openxmlformats.org/officeDocument/2006/relationships/hyperlink" Target="https://www.sciencedirect.com/science/article/abs/pii/S0277953604006446" TargetMode="External"/><Relationship Id="rId31" Type="http://schemas.openxmlformats.org/officeDocument/2006/relationships/hyperlink" Target="https://www.ncbi.nlm.nih.gov/pmc/articles/PMC6918821/" TargetMode="External"/><Relationship Id="rId4" Type="http://schemas.openxmlformats.org/officeDocument/2006/relationships/hyperlink" Target="https://bjs.ojp.gov/content/pub/pdf/imhprpji1112.pdf" TargetMode="External"/><Relationship Id="rId9" Type="http://schemas.openxmlformats.org/officeDocument/2006/relationships/hyperlink" Target="https://nicic.gov/state-statistics/2019/indiana-2019%20&#160;" TargetMode="External"/><Relationship Id="rId14" Type="http://schemas.openxmlformats.org/officeDocument/2006/relationships/hyperlink" Target="https://www.bls.gov/oes/2019/may/oes_in.htm" TargetMode="External"/><Relationship Id="rId22" Type="http://schemas.openxmlformats.org/officeDocument/2006/relationships/hyperlink" Target="https://pubmed.ncbi.nlm.nih.gov/12813119/" TargetMode="External"/><Relationship Id="rId27" Type="http://schemas.openxmlformats.org/officeDocument/2006/relationships/hyperlink" Target="https://content.govdelivery.com/accounts/INDWD/bulletins/258882e" TargetMode="External"/><Relationship Id="rId30" Type="http://schemas.openxmlformats.org/officeDocument/2006/relationships/hyperlink" Target="https://pdas.samhsa.gov/" TargetMode="External"/><Relationship Id="rId35" Type="http://schemas.openxmlformats.org/officeDocument/2006/relationships/hyperlink" Target="https://pdas.samhsa.gov/" TargetMode="External"/><Relationship Id="rId8" Type="http://schemas.openxmlformats.org/officeDocument/2006/relationships/hyperlink" Target="https://bjs.ojp.gov/content/pub/pdf/tssp18.pdf" TargetMode="External"/><Relationship Id="rId3" Type="http://schemas.openxmlformats.org/officeDocument/2006/relationships/hyperlink" Target="https://bjs.ojp.gov/content/pub/pdf/imhprpji1112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yi.org/wp-content/uploads/2021/03/Juvenile-Justice-Report_FINAL.pdf" TargetMode="External"/><Relationship Id="rId13" Type="http://schemas.openxmlformats.org/officeDocument/2006/relationships/hyperlink" Target="https://www.childhealthdata.org/browse/survey/results?q=7829&amp;r=16&amp;g=812" TargetMode="External"/><Relationship Id="rId3" Type="http://schemas.openxmlformats.org/officeDocument/2006/relationships/hyperlink" Target="https://wonder.cdc.gov/ucd-icd10.html" TargetMode="External"/><Relationship Id="rId7" Type="http://schemas.openxmlformats.org/officeDocument/2006/relationships/hyperlink" Target="https://ojjdp.ojp.gov/mpg/literature-review/mental-health-juvenile-justice-system.pdf" TargetMode="External"/><Relationship Id="rId12" Type="http://schemas.openxmlformats.org/officeDocument/2006/relationships/hyperlink" Target="https://www.ncbi.nlm.nih.gov/pmc/articles/PMC5578874/" TargetMode="External"/><Relationship Id="rId2" Type="http://schemas.openxmlformats.org/officeDocument/2006/relationships/hyperlink" Target="https://www.in.gov/idoc/files/FY19-Per-Diem.pdf" TargetMode="External"/><Relationship Id="rId1" Type="http://schemas.openxmlformats.org/officeDocument/2006/relationships/hyperlink" Target="https://www.childhealthdata.org/browse/survey/results?q=7734&amp;r=1&amp;r2=16&amp;g=812&amp;a=13391" TargetMode="External"/><Relationship Id="rId6" Type="http://schemas.openxmlformats.org/officeDocument/2006/relationships/hyperlink" Target="https://www.bls.gov/oes/2019/may/oes_in.htm" TargetMode="External"/><Relationship Id="rId11" Type="http://schemas.openxmlformats.org/officeDocument/2006/relationships/hyperlink" Target="https://inview.doe.in.gov/state/1088000000/finance" TargetMode="External"/><Relationship Id="rId5" Type="http://schemas.openxmlformats.org/officeDocument/2006/relationships/hyperlink" Target="https://journals.sagepub.com/doi/pdf/10.1177/0004944118823576" TargetMode="External"/><Relationship Id="rId10" Type="http://schemas.openxmlformats.org/officeDocument/2006/relationships/hyperlink" Target="https://www.childhealthdata.org/browse/survey/results?q=7981&amp;r=16" TargetMode="External"/><Relationship Id="rId4" Type="http://schemas.openxmlformats.org/officeDocument/2006/relationships/hyperlink" Target="https://wonder.cdc.gov/ucd-icd10.html" TargetMode="External"/><Relationship Id="rId9" Type="http://schemas.openxmlformats.org/officeDocument/2006/relationships/hyperlink" Target="https://www2.ed.gov/about/inits/ed/non-public-education/regulation-map/indiana.html" TargetMode="External"/><Relationship Id="rId14" Type="http://schemas.openxmlformats.org/officeDocument/2006/relationships/hyperlink" Target="https://www.childhealthdata.org/browse/survey/results?q=7829&amp;r=16&amp;g=812" TargetMode="Externa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hyperlink" Target="https://pdas.samhsa.gov/" TargetMode="External"/><Relationship Id="rId18" Type="http://schemas.openxmlformats.org/officeDocument/2006/relationships/hyperlink" Target="https://www.bls.gov/oes/2019/may/oes_in.htm" TargetMode="External"/><Relationship Id="rId26" Type="http://schemas.openxmlformats.org/officeDocument/2006/relationships/hyperlink" Target="https://content.govdelivery.com/accounts/INDWD/bulletins/258882e" TargetMode="External"/><Relationship Id="rId39" Type="http://schemas.openxmlformats.org/officeDocument/2006/relationships/hyperlink" Target="https://bjs.ojp.gov/content/pub/pdf/tssp18.pdf" TargetMode="External"/><Relationship Id="rId21" Type="http://schemas.openxmlformats.org/officeDocument/2006/relationships/hyperlink" Target="https://content.govdelivery.com/accounts/INDWD/bulletins/258882e" TargetMode="External"/><Relationship Id="rId34" Type="http://schemas.openxmlformats.org/officeDocument/2006/relationships/hyperlink" Target="https://www.caregiving.org/wp-content/uploads/2020/05/NAC_Mental_Illness_Study_2016_FINAL_WEB.pdf" TargetMode="External"/><Relationship Id="rId7" Type="http://schemas.openxmlformats.org/officeDocument/2006/relationships/hyperlink" Target="https://nicic.gov/state-statistics/2019/indiana-2019%20&#160;" TargetMode="External"/><Relationship Id="rId2" Type="http://schemas.openxmlformats.org/officeDocument/2006/relationships/hyperlink" Target="https://faqs.in.gov/hc/en-us/articles/115005238288-How-much-does-it-cost-to-keep-an-offender-in-prison-" TargetMode="External"/><Relationship Id="rId16" Type="http://schemas.openxmlformats.org/officeDocument/2006/relationships/hyperlink" Target="https://www.caregiving.org/wp-content/uploads/2020/05/NAC_Mental_Illness_Study_2016_FINAL_WEB.pdf" TargetMode="External"/><Relationship Id="rId20" Type="http://schemas.openxmlformats.org/officeDocument/2006/relationships/hyperlink" Target="https://pubmed.ncbi.nlm.nih.gov/12813119/&#160;&#160;" TargetMode="External"/><Relationship Id="rId29" Type="http://schemas.openxmlformats.org/officeDocument/2006/relationships/hyperlink" Target="https://pdas.samhsa.gov/" TargetMode="External"/><Relationship Id="rId41" Type="http://schemas.openxmlformats.org/officeDocument/2006/relationships/hyperlink" Target="https://www.researchgate.net/publication/285782276_A_Journey_Home_What_Drives_How_Long_People_Are_Homeless?enrichId=rgreq-d214de295e0f67b92553707b1d6c4906-" TargetMode="External"/><Relationship Id="rId1" Type="http://schemas.openxmlformats.org/officeDocument/2006/relationships/hyperlink" Target="https://bjs.ojp.gov/content/pub/pdf/ji19.pdf&#160;&#160;" TargetMode="External"/><Relationship Id="rId6" Type="http://schemas.openxmlformats.org/officeDocument/2006/relationships/hyperlink" Target="https://nicic.gov/state-statistics/2019/indiana-2019" TargetMode="External"/><Relationship Id="rId11" Type="http://schemas.openxmlformats.org/officeDocument/2006/relationships/hyperlink" Target="https://www.nami.org/NAMI/media/NAMI-Media/StateFactSheets/IndianaStateFactSheet.pdf" TargetMode="External"/><Relationship Id="rId24" Type="http://schemas.openxmlformats.org/officeDocument/2006/relationships/hyperlink" Target="https://content.govdelivery.com/accounts/INDWD/bulletins/258882e" TargetMode="External"/><Relationship Id="rId32" Type="http://schemas.openxmlformats.org/officeDocument/2006/relationships/hyperlink" Target="https://rdas.samhsa.gov/" TargetMode="External"/><Relationship Id="rId37" Type="http://schemas.openxmlformats.org/officeDocument/2006/relationships/hyperlink" Target="https://www.bbrfoundation.org/blog/homelessness-and-mental-illness-challenge-our-society" TargetMode="External"/><Relationship Id="rId40" Type="http://schemas.openxmlformats.org/officeDocument/2006/relationships/hyperlink" Target="https://endhomelessness.org/homelessness-in-america/who-experiences-homelessness/chronically-homeless/" TargetMode="External"/><Relationship Id="rId5" Type="http://schemas.openxmlformats.org/officeDocument/2006/relationships/hyperlink" Target="https://pdas.samhsa.gov/" TargetMode="External"/><Relationship Id="rId15" Type="http://schemas.openxmlformats.org/officeDocument/2006/relationships/hyperlink" Target="https://www.bls.gov/oes/2019/may/oes_in.htm" TargetMode="External"/><Relationship Id="rId23" Type="http://schemas.openxmlformats.org/officeDocument/2006/relationships/hyperlink" Target="https://www.americashealthrankings.org/learn/reports/2019-annual-report/state-summaries-indiana" TargetMode="External"/><Relationship Id="rId28" Type="http://schemas.openxmlformats.org/officeDocument/2006/relationships/hyperlink" Target="http://www.iaaaa.org/its-national-family-caregivers-month-indiana-ranks-last-in-the-nation/" TargetMode="External"/><Relationship Id="rId36" Type="http://schemas.openxmlformats.org/officeDocument/2006/relationships/hyperlink" Target="https://www.caregiving.org/wp-content/uploads/2020/05/NAC_Mental_Illness_Study_2016_FINAL_WEB.pdf" TargetMode="External"/><Relationship Id="rId10" Type="http://schemas.openxmlformats.org/officeDocument/2006/relationships/hyperlink" Target="https://www.nami.org/NAMI/media/NAMI-Media/StateFactSheets/IndianaStateFactSheet.pdf" TargetMode="External"/><Relationship Id="rId19" Type="http://schemas.openxmlformats.org/officeDocument/2006/relationships/hyperlink" Target="https://pubmed.ncbi.nlm.nih.gov/12813119/" TargetMode="External"/><Relationship Id="rId31" Type="http://schemas.openxmlformats.org/officeDocument/2006/relationships/hyperlink" Target="https://www.sciencedirect.com/science/article/abs/pii/S0277953604006446" TargetMode="External"/><Relationship Id="rId4" Type="http://schemas.openxmlformats.org/officeDocument/2006/relationships/hyperlink" Target="https://pdas.samhsa.gov/" TargetMode="External"/><Relationship Id="rId9" Type="http://schemas.openxmlformats.org/officeDocument/2006/relationships/hyperlink" Target="https://www.bls.gov/oes/2019/may/oes_in.htm" TargetMode="External"/><Relationship Id="rId14" Type="http://schemas.openxmlformats.org/officeDocument/2006/relationships/hyperlink" Target="https://wonder.cdc.gov/ucd-icd10.html" TargetMode="External"/><Relationship Id="rId22" Type="http://schemas.openxmlformats.org/officeDocument/2006/relationships/hyperlink" Target="https://www.bls.gov/oes/2019/may/oes_in.htm" TargetMode="External"/><Relationship Id="rId27" Type="http://schemas.openxmlformats.org/officeDocument/2006/relationships/hyperlink" Target="https://www.bls.gov/oes/2019/may/oes_in.htm" TargetMode="External"/><Relationship Id="rId30" Type="http://schemas.openxmlformats.org/officeDocument/2006/relationships/hyperlink" Target="https://www.who.int/mental_health/management/info_sheet.pdf" TargetMode="External"/><Relationship Id="rId35" Type="http://schemas.openxmlformats.org/officeDocument/2006/relationships/hyperlink" Target="https://www.caregiving.org/wp-content/uploads/2020/05/NAC_Mental_Illness_Study_2016_FINAL_WEB.pdf" TargetMode="External"/><Relationship Id="rId8" Type="http://schemas.openxmlformats.org/officeDocument/2006/relationships/hyperlink" Target="https://www.usich.gov/homelessness-statistics/in/" TargetMode="External"/><Relationship Id="rId3" Type="http://schemas.openxmlformats.org/officeDocument/2006/relationships/hyperlink" Target="https://staging.vera.org/publications/what-jails-cost-statewide/indiana" TargetMode="External"/><Relationship Id="rId12" Type="http://schemas.openxmlformats.org/officeDocument/2006/relationships/hyperlink" Target="https://pdas.samhsa.gov/" TargetMode="External"/><Relationship Id="rId17" Type="http://schemas.openxmlformats.org/officeDocument/2006/relationships/hyperlink" Target="https://ppidb.iu.edu/Uploads/PublicationFiles/cost-of-homelessness-2016.pdf" TargetMode="External"/><Relationship Id="rId25" Type="http://schemas.openxmlformats.org/officeDocument/2006/relationships/hyperlink" Target="https://content.govdelivery.com/accounts/INDWD/bulletins/258882e" TargetMode="External"/><Relationship Id="rId33" Type="http://schemas.openxmlformats.org/officeDocument/2006/relationships/hyperlink" Target="https://rdas.samhsa.gov/" TargetMode="External"/><Relationship Id="rId38" Type="http://schemas.openxmlformats.org/officeDocument/2006/relationships/hyperlink" Target="https://www.stats.indiana.edu/profiles/profiles.asp?scope_choice=a&amp;county_changer=18000" TargetMode="Externa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s://wonder.cdc.gov/ucd-icd10.html" TargetMode="External"/><Relationship Id="rId18" Type="http://schemas.openxmlformats.org/officeDocument/2006/relationships/hyperlink" Target="https://www.sciencedirect.com/science/article/abs/pii/S0277953604006446" TargetMode="External"/><Relationship Id="rId26" Type="http://schemas.openxmlformats.org/officeDocument/2006/relationships/hyperlink" Target="https://content.govdelivery.com/accounts/INDWD/bulletins/258882e" TargetMode="External"/><Relationship Id="rId39" Type="http://schemas.openxmlformats.org/officeDocument/2006/relationships/hyperlink" Target="https://www.researchgate.net/publication/285782276_A_Journey_Home_What_Drives_How_Long_People_Are_Homeless?enrichId=rgreq-d214de295e0f67b92553707b1d6c4906-" TargetMode="External"/><Relationship Id="rId21" Type="http://schemas.openxmlformats.org/officeDocument/2006/relationships/hyperlink" Target="https://www.psychiatrist.com/read-pdf/5390/&#160;&#160;" TargetMode="External"/><Relationship Id="rId34" Type="http://schemas.openxmlformats.org/officeDocument/2006/relationships/hyperlink" Target="https://pdas.samhsa.gov/" TargetMode="External"/><Relationship Id="rId7" Type="http://schemas.openxmlformats.org/officeDocument/2006/relationships/hyperlink" Target="https://staging.vera.org/publications/what-jails-cost-statewide/indiana" TargetMode="External"/><Relationship Id="rId12" Type="http://schemas.openxmlformats.org/officeDocument/2006/relationships/hyperlink" Target="https://wonder.cdc.gov/ucd-icd10.html" TargetMode="External"/><Relationship Id="rId17" Type="http://schemas.openxmlformats.org/officeDocument/2006/relationships/hyperlink" Target="http://www.iaaaa.org/its-national-family-caregivers-month-indiana-ranks-last-in-the-nation/" TargetMode="External"/><Relationship Id="rId25" Type="http://schemas.openxmlformats.org/officeDocument/2006/relationships/hyperlink" Target="https://ps.psychiatryonline.org/doi/10.1176/appi.ps.201300335" TargetMode="External"/><Relationship Id="rId33" Type="http://schemas.openxmlformats.org/officeDocument/2006/relationships/hyperlink" Target="https://rdas.samhsa.gov/" TargetMode="External"/><Relationship Id="rId38" Type="http://schemas.openxmlformats.org/officeDocument/2006/relationships/hyperlink" Target="https://endhomelessness.org/homelessness-in-america/who-experiences-homelessness/chronically-homeless/" TargetMode="External"/><Relationship Id="rId2" Type="http://schemas.openxmlformats.org/officeDocument/2006/relationships/hyperlink" Target="https://ppidb.iu.edu/Uploads/PublicationFiles/cost-of-homelessness-2016.pdf" TargetMode="External"/><Relationship Id="rId16" Type="http://schemas.openxmlformats.org/officeDocument/2006/relationships/hyperlink" Target="https://www.caregiving.org/wp-content/uploads/2020/05/NAC_Mental_Illness_Study_2016_FINAL_WEB.pdf" TargetMode="External"/><Relationship Id="rId20" Type="http://schemas.openxmlformats.org/officeDocument/2006/relationships/hyperlink" Target="https://www.sciencedirect.com/science/article/abs/pii/S0277953604006446" TargetMode="External"/><Relationship Id="rId29" Type="http://schemas.openxmlformats.org/officeDocument/2006/relationships/hyperlink" Target="https://www.bls.gov/oes/2019/may/oes_in.htm" TargetMode="External"/><Relationship Id="rId1" Type="http://schemas.openxmlformats.org/officeDocument/2006/relationships/hyperlink" Target="https://www.nationalhomeless.org/factsheets/Mental_Illness.pdf;" TargetMode="External"/><Relationship Id="rId6" Type="http://schemas.openxmlformats.org/officeDocument/2006/relationships/hyperlink" Target="https://faqs.in.gov/hc/en-us/articles/115005238288-How-much-does-it-cost-to-keep-an-offender-in-prison-" TargetMode="External"/><Relationship Id="rId11" Type="http://schemas.openxmlformats.org/officeDocument/2006/relationships/hyperlink" Target="https://www.usich.gov/homelessness-statistics/in/" TargetMode="External"/><Relationship Id="rId24" Type="http://schemas.openxmlformats.org/officeDocument/2006/relationships/hyperlink" Target="https://www.bls.gov/oes/2019/may/oes_in.htm" TargetMode="External"/><Relationship Id="rId32" Type="http://schemas.openxmlformats.org/officeDocument/2006/relationships/hyperlink" Target="https://rdas.samhsa.gov/" TargetMode="External"/><Relationship Id="rId37" Type="http://schemas.openxmlformats.org/officeDocument/2006/relationships/hyperlink" Target="https://www.americashealthrankings.org/learn/reports/2019-annual-report/state-summaries-indiana" TargetMode="External"/><Relationship Id="rId5" Type="http://schemas.openxmlformats.org/officeDocument/2006/relationships/hyperlink" Target="https://bjs.ojp.gov/content/pub/pdf/ji19.pdf&#160;&#160;" TargetMode="External"/><Relationship Id="rId15" Type="http://schemas.openxmlformats.org/officeDocument/2006/relationships/hyperlink" Target="https://scholarscompass.vcu.edu/cgi/viewcontent.cgi?article=5791&amp;context=etd" TargetMode="External"/><Relationship Id="rId23" Type="http://schemas.openxmlformats.org/officeDocument/2006/relationships/hyperlink" Target="https://pubmed.ncbi.nlm.nih.gov/12813119/" TargetMode="External"/><Relationship Id="rId28" Type="http://schemas.openxmlformats.org/officeDocument/2006/relationships/hyperlink" Target="https://www.bls.gov/oes/2019/may/oes_in.htm" TargetMode="External"/><Relationship Id="rId36" Type="http://schemas.openxmlformats.org/officeDocument/2006/relationships/hyperlink" Target="https://www.stats.indiana.edu/profiles/profiles.asp?scope_choice=a&amp;county_changer=18000" TargetMode="External"/><Relationship Id="rId10" Type="http://schemas.openxmlformats.org/officeDocument/2006/relationships/hyperlink" Target="https://nicic.gov/state-statistics/2019/indiana-2019" TargetMode="External"/><Relationship Id="rId19" Type="http://schemas.openxmlformats.org/officeDocument/2006/relationships/hyperlink" Target="https://www.sciencedirect.com/science/article/abs/pii/S0277953604006446" TargetMode="External"/><Relationship Id="rId31" Type="http://schemas.openxmlformats.org/officeDocument/2006/relationships/hyperlink" Target="https://www.ncbi.nlm.nih.gov/pmc/articles/PMC6918821/" TargetMode="External"/><Relationship Id="rId4" Type="http://schemas.openxmlformats.org/officeDocument/2006/relationships/hyperlink" Target="https://bjs.ojp.gov/content/pub/pdf/imhprpji1112.pdf" TargetMode="External"/><Relationship Id="rId9" Type="http://schemas.openxmlformats.org/officeDocument/2006/relationships/hyperlink" Target="https://nicic.gov/state-statistics/2019/indiana-2019%20&#160;" TargetMode="External"/><Relationship Id="rId14" Type="http://schemas.openxmlformats.org/officeDocument/2006/relationships/hyperlink" Target="https://www.bls.gov/oes/2019/may/oes_in.htm" TargetMode="External"/><Relationship Id="rId22" Type="http://schemas.openxmlformats.org/officeDocument/2006/relationships/hyperlink" Target="https://pubmed.ncbi.nlm.nih.gov/12813119/" TargetMode="External"/><Relationship Id="rId27" Type="http://schemas.openxmlformats.org/officeDocument/2006/relationships/hyperlink" Target="https://content.govdelivery.com/accounts/INDWD/bulletins/258882e" TargetMode="External"/><Relationship Id="rId30" Type="http://schemas.openxmlformats.org/officeDocument/2006/relationships/hyperlink" Target="https://pdas.samhsa.gov/" TargetMode="External"/><Relationship Id="rId35" Type="http://schemas.openxmlformats.org/officeDocument/2006/relationships/hyperlink" Target="https://pdas.samhsa.gov/" TargetMode="External"/><Relationship Id="rId8" Type="http://schemas.openxmlformats.org/officeDocument/2006/relationships/hyperlink" Target="https://bjs.ojp.gov/content/pub/pdf/tssp18.pdf" TargetMode="External"/><Relationship Id="rId3" Type="http://schemas.openxmlformats.org/officeDocument/2006/relationships/hyperlink" Target="https://bjs.ojp.gov/content/pub/pdf/imhprpji111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63A80-EBFD-4E25-AB64-A467154BC917}">
  <dimension ref="B1:AE90"/>
  <sheetViews>
    <sheetView tabSelected="1" zoomScale="80" zoomScaleNormal="80" workbookViewId="0">
      <selection activeCell="H1" sqref="H1:H1048576"/>
    </sheetView>
  </sheetViews>
  <sheetFormatPr defaultRowHeight="15" x14ac:dyDescent="0.25"/>
  <cols>
    <col min="2" max="2" width="27.42578125" customWidth="1"/>
    <col min="3" max="3" width="33.140625" customWidth="1"/>
    <col min="4" max="4" width="16.85546875" bestFit="1" customWidth="1"/>
    <col min="5" max="5" width="12.7109375" customWidth="1"/>
    <col min="6" max="6" width="12.42578125" bestFit="1" customWidth="1"/>
    <col min="7" max="7" width="53.85546875" customWidth="1"/>
    <col min="8" max="8" width="11.140625" customWidth="1"/>
    <col min="10" max="10" width="25.28515625" customWidth="1"/>
    <col min="11" max="11" width="30" bestFit="1" customWidth="1"/>
    <col min="13" max="13" width="16.42578125" customWidth="1"/>
    <col min="14" max="14" width="13" customWidth="1"/>
    <col min="15" max="15" width="11.85546875" customWidth="1"/>
    <col min="16" max="16" width="12.5703125" customWidth="1"/>
    <col min="18" max="18" width="12.7109375" customWidth="1"/>
    <col min="19" max="20" width="10.85546875" customWidth="1"/>
    <col min="24" max="24" width="13.85546875" customWidth="1"/>
    <col min="26" max="26" width="28.85546875" customWidth="1"/>
    <col min="27" max="27" width="24.140625" customWidth="1"/>
    <col min="28" max="28" width="24.5703125" bestFit="1" customWidth="1"/>
    <col min="29" max="29" width="25.140625" bestFit="1" customWidth="1"/>
    <col min="31" max="31" width="20.42578125" customWidth="1"/>
  </cols>
  <sheetData>
    <row r="1" spans="2:31" ht="15.75" thickBot="1" x14ac:dyDescent="0.3"/>
    <row r="2" spans="2:31" ht="15" customHeight="1" x14ac:dyDescent="0.25">
      <c r="B2" s="188" t="s">
        <v>0</v>
      </c>
      <c r="C2" s="189"/>
      <c r="D2" s="189"/>
      <c r="E2" s="189"/>
      <c r="F2" s="189"/>
      <c r="G2" s="189"/>
      <c r="H2" s="141"/>
      <c r="J2" s="191" t="s">
        <v>1</v>
      </c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</row>
    <row r="3" spans="2:31" ht="14.45" customHeight="1" x14ac:dyDescent="0.25">
      <c r="B3" s="190"/>
      <c r="C3" s="191"/>
      <c r="D3" s="191"/>
      <c r="E3" s="191"/>
      <c r="F3" s="191"/>
      <c r="G3" s="191"/>
      <c r="H3" s="142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</row>
    <row r="4" spans="2:31" x14ac:dyDescent="0.25">
      <c r="B4" s="8"/>
      <c r="C4" s="145" t="s">
        <v>2</v>
      </c>
      <c r="D4" s="145" t="s">
        <v>3</v>
      </c>
      <c r="E4" s="145" t="s">
        <v>4</v>
      </c>
      <c r="F4" s="145" t="s">
        <v>5</v>
      </c>
      <c r="G4" s="145" t="s">
        <v>6</v>
      </c>
      <c r="H4" s="9"/>
    </row>
    <row r="5" spans="2:31" ht="42" customHeight="1" x14ac:dyDescent="0.25">
      <c r="B5" s="10" t="s">
        <v>7</v>
      </c>
      <c r="C5">
        <v>5029000</v>
      </c>
      <c r="H5" s="11"/>
      <c r="J5" s="23"/>
      <c r="K5" s="23"/>
      <c r="L5" s="23"/>
      <c r="M5" s="23"/>
      <c r="N5" s="23" t="s">
        <v>8</v>
      </c>
      <c r="O5" s="23" t="s">
        <v>8</v>
      </c>
      <c r="P5" s="23" t="s">
        <v>9</v>
      </c>
      <c r="Q5" s="23"/>
      <c r="R5" s="23" t="s">
        <v>10</v>
      </c>
      <c r="S5" s="23" t="s">
        <v>10</v>
      </c>
      <c r="T5" s="23" t="s">
        <v>11</v>
      </c>
      <c r="U5" s="23"/>
      <c r="V5" s="23" t="s">
        <v>12</v>
      </c>
      <c r="W5" s="23"/>
      <c r="X5" s="23" t="s">
        <v>13</v>
      </c>
      <c r="Y5" s="23"/>
      <c r="Z5" s="23" t="s">
        <v>14</v>
      </c>
      <c r="AA5" s="23" t="s">
        <v>15</v>
      </c>
      <c r="AB5" s="23" t="s">
        <v>16</v>
      </c>
      <c r="AC5" s="23" t="s">
        <v>17</v>
      </c>
      <c r="AE5" s="23" t="s">
        <v>6</v>
      </c>
    </row>
    <row r="6" spans="2:31" ht="36" customHeight="1" x14ac:dyDescent="0.25">
      <c r="B6" s="10" t="s">
        <v>18</v>
      </c>
      <c r="C6">
        <v>4733000</v>
      </c>
      <c r="D6">
        <v>94.1</v>
      </c>
      <c r="E6">
        <v>92.3</v>
      </c>
      <c r="F6">
        <v>95.5</v>
      </c>
      <c r="G6" s="138" t="s">
        <v>19</v>
      </c>
      <c r="H6" s="12"/>
      <c r="I6" s="5" t="s">
        <v>20</v>
      </c>
      <c r="J6" s="6"/>
      <c r="K6" s="6"/>
      <c r="L6" s="6"/>
      <c r="M6" s="6" t="s">
        <v>21</v>
      </c>
      <c r="N6" s="7" t="s">
        <v>22</v>
      </c>
      <c r="O6" s="7" t="s">
        <v>23</v>
      </c>
      <c r="P6" s="7" t="s">
        <v>24</v>
      </c>
      <c r="Q6" s="7"/>
      <c r="R6" s="7" t="s">
        <v>25</v>
      </c>
      <c r="S6" s="7" t="s">
        <v>26</v>
      </c>
      <c r="T6" s="7" t="s">
        <v>27</v>
      </c>
      <c r="U6" s="6"/>
      <c r="V6" s="6"/>
      <c r="W6" s="6"/>
      <c r="X6" s="6"/>
      <c r="Y6" s="6"/>
      <c r="Z6" s="6"/>
      <c r="AA6" s="6"/>
    </row>
    <row r="7" spans="2:31" ht="34.5" customHeight="1" x14ac:dyDescent="0.25">
      <c r="B7" s="10" t="s">
        <v>28</v>
      </c>
      <c r="C7" s="2">
        <v>296000</v>
      </c>
      <c r="D7">
        <v>5.9</v>
      </c>
      <c r="E7">
        <v>4.5</v>
      </c>
      <c r="F7">
        <v>7.7</v>
      </c>
      <c r="G7" s="138" t="s">
        <v>19</v>
      </c>
      <c r="H7" s="12"/>
      <c r="I7" s="5" t="s">
        <v>20</v>
      </c>
      <c r="J7" s="23" t="s">
        <v>29</v>
      </c>
      <c r="K7" s="43" t="s">
        <v>30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2:31" x14ac:dyDescent="0.25">
      <c r="B8" s="10" t="s">
        <v>31</v>
      </c>
      <c r="D8" s="13">
        <f>D7*0.525</f>
        <v>3.0975000000000001</v>
      </c>
      <c r="E8" s="13">
        <f>E7*0.525</f>
        <v>2.3625000000000003</v>
      </c>
      <c r="F8" s="13">
        <f>F7*0.52</f>
        <v>4.0040000000000004</v>
      </c>
      <c r="H8" s="11"/>
      <c r="I8" s="5" t="s">
        <v>20</v>
      </c>
      <c r="L8" t="s">
        <v>32</v>
      </c>
      <c r="M8">
        <v>20880</v>
      </c>
      <c r="N8" s="53">
        <f>((1-D19)*M8)</f>
        <v>12528</v>
      </c>
      <c r="O8">
        <f>C10</f>
        <v>3887000</v>
      </c>
      <c r="P8">
        <f>N8/O8</f>
        <v>3.2230511962953435E-3</v>
      </c>
      <c r="R8" s="53">
        <f>D19*M8</f>
        <v>8352</v>
      </c>
      <c r="S8" s="2">
        <f>C13</f>
        <v>846000</v>
      </c>
      <c r="T8">
        <f>R8/S8</f>
        <v>9.8723404255319155E-3</v>
      </c>
      <c r="V8">
        <f>T8-P8</f>
        <v>6.6492892292365716E-3</v>
      </c>
      <c r="X8" s="54">
        <f>V8*S8</f>
        <v>5625.2986879341397</v>
      </c>
      <c r="Z8" s="54">
        <f>X8*D15</f>
        <v>1507.5800483663495</v>
      </c>
      <c r="AA8" s="59">
        <f>Z8*D20*D21</f>
        <v>2116642.3879063549</v>
      </c>
      <c r="AB8" s="59">
        <f>Z9*D20*D21</f>
        <v>1873523.2121935142</v>
      </c>
      <c r="AC8" s="59">
        <f>Z10*D20*D21</f>
        <v>2386178.8175200974</v>
      </c>
      <c r="AE8" s="27" t="s">
        <v>33</v>
      </c>
    </row>
    <row r="9" spans="2:31" x14ac:dyDescent="0.25">
      <c r="B9" s="10"/>
      <c r="D9" s="13"/>
      <c r="E9" s="13"/>
      <c r="F9" s="13"/>
      <c r="H9" s="11"/>
      <c r="I9" s="5"/>
      <c r="N9" s="53"/>
      <c r="R9" s="53"/>
      <c r="X9" s="54"/>
      <c r="Y9" t="s">
        <v>34</v>
      </c>
      <c r="Z9" s="54">
        <f>X8*E15</f>
        <v>1334.4182423030727</v>
      </c>
      <c r="AA9" s="59"/>
      <c r="AB9" s="59"/>
      <c r="AC9" s="59"/>
      <c r="AE9" s="27"/>
    </row>
    <row r="10" spans="2:31" ht="24.75" x14ac:dyDescent="0.25">
      <c r="B10" s="10" t="s">
        <v>35</v>
      </c>
      <c r="C10">
        <f>C5-C11</f>
        <v>3887000</v>
      </c>
      <c r="D10" s="13">
        <f>C10/C5</f>
        <v>0.77291708093060252</v>
      </c>
      <c r="E10" s="13">
        <v>0.74</v>
      </c>
      <c r="F10" s="13">
        <v>0.8</v>
      </c>
      <c r="G10" s="138" t="s">
        <v>19</v>
      </c>
      <c r="H10" s="12"/>
      <c r="I10" s="5" t="s">
        <v>20</v>
      </c>
      <c r="N10" s="53"/>
      <c r="R10" s="53"/>
      <c r="X10" s="54"/>
      <c r="Y10" t="s">
        <v>36</v>
      </c>
      <c r="Z10" s="54">
        <f>X8*F15</f>
        <v>1699.5575623362517</v>
      </c>
      <c r="AA10" s="59"/>
      <c r="AB10" s="59"/>
      <c r="AC10" s="59"/>
      <c r="AE10" s="27"/>
    </row>
    <row r="11" spans="2:31" ht="24.75" x14ac:dyDescent="0.25">
      <c r="B11" s="10" t="s">
        <v>37</v>
      </c>
      <c r="C11">
        <v>1142000</v>
      </c>
      <c r="D11" s="174">
        <f>C11/C5</f>
        <v>0.22708291906939748</v>
      </c>
      <c r="E11" s="174">
        <v>0.20100000000000001</v>
      </c>
      <c r="F11" s="174">
        <v>0.25600000000000001</v>
      </c>
      <c r="G11" s="138" t="s">
        <v>19</v>
      </c>
      <c r="H11" s="12"/>
      <c r="I11" s="5" t="s">
        <v>20</v>
      </c>
      <c r="N11" s="53"/>
      <c r="R11" s="53"/>
      <c r="X11" s="54"/>
      <c r="Z11" s="54"/>
      <c r="AA11" s="59"/>
      <c r="AB11" s="59"/>
      <c r="AC11" s="59"/>
      <c r="AE11" s="27"/>
    </row>
    <row r="12" spans="2:31" x14ac:dyDescent="0.25">
      <c r="B12" s="10"/>
      <c r="D12" s="13"/>
      <c r="E12" s="13"/>
      <c r="F12" s="13"/>
      <c r="H12" s="11"/>
      <c r="I12" s="5" t="s">
        <v>20</v>
      </c>
      <c r="N12" s="53"/>
      <c r="R12" s="53"/>
      <c r="X12" s="54"/>
      <c r="Z12" s="54"/>
      <c r="AA12" s="59"/>
      <c r="AB12" s="59"/>
      <c r="AC12" s="59"/>
      <c r="AE12" s="27"/>
    </row>
    <row r="13" spans="2:31" x14ac:dyDescent="0.25">
      <c r="B13" s="10" t="s">
        <v>38</v>
      </c>
      <c r="C13" s="2">
        <f>C11-C7</f>
        <v>846000</v>
      </c>
      <c r="D13" s="13">
        <f>C13/C5</f>
        <v>0.16822429906542055</v>
      </c>
      <c r="E13" s="13"/>
      <c r="F13" s="13"/>
      <c r="H13" s="11"/>
      <c r="I13" s="5" t="s">
        <v>20</v>
      </c>
      <c r="N13" s="53"/>
      <c r="R13" s="53"/>
      <c r="X13" s="54"/>
      <c r="Z13" s="54"/>
      <c r="AA13" s="59"/>
      <c r="AB13" s="59"/>
      <c r="AC13" s="59"/>
      <c r="AE13" s="27"/>
    </row>
    <row r="14" spans="2:31" x14ac:dyDescent="0.25">
      <c r="B14" s="10" t="s">
        <v>39</v>
      </c>
      <c r="D14" s="56">
        <f>D11*0.268</f>
        <v>6.085822231059853E-2</v>
      </c>
      <c r="E14">
        <f>E11*0.268</f>
        <v>5.3868000000000006E-2</v>
      </c>
      <c r="F14">
        <f>F11*0.268</f>
        <v>6.8608000000000002E-2</v>
      </c>
      <c r="H14" s="11"/>
      <c r="I14" s="5" t="s">
        <v>20</v>
      </c>
      <c r="L14" t="s">
        <v>40</v>
      </c>
      <c r="M14">
        <v>27180</v>
      </c>
      <c r="N14" s="53">
        <f>((1-D23)*M14)</f>
        <v>16308</v>
      </c>
      <c r="O14">
        <f>C10</f>
        <v>3887000</v>
      </c>
      <c r="P14">
        <f>N14/O14</f>
        <v>4.1955235400051452E-3</v>
      </c>
      <c r="R14" s="53">
        <f>D23*M14</f>
        <v>10872</v>
      </c>
      <c r="S14" s="2">
        <f>C13</f>
        <v>846000</v>
      </c>
      <c r="T14">
        <f>R14/S14</f>
        <v>1.2851063829787235E-2</v>
      </c>
      <c r="V14">
        <f>T14-P14</f>
        <v>8.6555402897820904E-3</v>
      </c>
      <c r="X14" s="54">
        <f>V14*S14</f>
        <v>7322.5870851556483</v>
      </c>
      <c r="Z14" s="54">
        <f>X14*D15</f>
        <v>1962.4533388217139</v>
      </c>
      <c r="AA14" s="59">
        <f>Z14*D24*D25</f>
        <v>101766962.41581102</v>
      </c>
      <c r="AB14" s="59">
        <f>Z15*D24*D25</f>
        <v>90077930.693355381</v>
      </c>
      <c r="AC14" s="59">
        <f>Z16*D24*D25</f>
        <v>114726120.68407451</v>
      </c>
    </row>
    <row r="15" spans="2:31" ht="24.75" x14ac:dyDescent="0.25">
      <c r="B15" s="10" t="s">
        <v>41</v>
      </c>
      <c r="D15">
        <v>0.26800000000000002</v>
      </c>
      <c r="E15" s="146">
        <f>E14/D11</f>
        <v>0.23721731348511388</v>
      </c>
      <c r="F15">
        <f>F14/D11</f>
        <v>0.3021275236427321</v>
      </c>
      <c r="H15" s="11"/>
      <c r="I15" s="5" t="s">
        <v>20</v>
      </c>
      <c r="N15" s="53"/>
      <c r="R15" s="53"/>
      <c r="X15" s="54"/>
      <c r="Y15" t="s">
        <v>34</v>
      </c>
      <c r="Z15" s="54">
        <f>X14*E15</f>
        <v>1737.0444361014138</v>
      </c>
      <c r="AA15" s="59"/>
      <c r="AB15" s="59"/>
      <c r="AC15" s="59"/>
    </row>
    <row r="16" spans="2:31" ht="17.45" customHeight="1" x14ac:dyDescent="0.25">
      <c r="B16" s="172" t="s">
        <v>42</v>
      </c>
      <c r="C16" s="173"/>
      <c r="D16" s="173">
        <f>C13*D15</f>
        <v>226728</v>
      </c>
      <c r="E16" s="173">
        <f>C13*E15</f>
        <v>200685.84720840634</v>
      </c>
      <c r="F16" s="173">
        <f>C13*F15</f>
        <v>255599.88500175136</v>
      </c>
      <c r="H16" s="11"/>
      <c r="I16" s="5" t="s">
        <v>20</v>
      </c>
      <c r="N16" s="53"/>
      <c r="R16" s="53"/>
      <c r="X16" s="54"/>
      <c r="Y16" t="s">
        <v>36</v>
      </c>
      <c r="Z16" s="54">
        <f>X14*F15</f>
        <v>2212.3551026963278</v>
      </c>
      <c r="AA16" s="59"/>
      <c r="AB16" s="59"/>
      <c r="AC16" s="59"/>
    </row>
    <row r="17" spans="2:31" ht="29.45" customHeight="1" x14ac:dyDescent="0.25">
      <c r="B17" s="26" t="s">
        <v>29</v>
      </c>
      <c r="C17" s="24"/>
      <c r="D17" s="24"/>
      <c r="E17" s="24"/>
      <c r="F17" s="24"/>
      <c r="G17" s="24"/>
      <c r="H17" s="25"/>
      <c r="I17" s="5" t="s">
        <v>20</v>
      </c>
      <c r="N17" s="53"/>
      <c r="R17" s="53"/>
      <c r="X17" s="54"/>
      <c r="Z17" s="54"/>
      <c r="AA17" s="59"/>
      <c r="AB17" s="59"/>
      <c r="AC17" s="59"/>
      <c r="AE17" s="27" t="s">
        <v>33</v>
      </c>
    </row>
    <row r="18" spans="2:31" ht="20.45" customHeight="1" x14ac:dyDescent="0.25">
      <c r="B18" s="48" t="s">
        <v>43</v>
      </c>
      <c r="C18" s="3"/>
      <c r="D18" s="3"/>
      <c r="E18" s="3"/>
      <c r="F18" s="192"/>
      <c r="G18" s="192"/>
      <c r="H18" s="143"/>
      <c r="I18" s="5" t="s">
        <v>20</v>
      </c>
      <c r="K18" s="44" t="s">
        <v>44</v>
      </c>
      <c r="L18" s="4"/>
      <c r="M18" s="4"/>
      <c r="N18" s="76"/>
      <c r="O18" s="4"/>
      <c r="P18" s="4"/>
      <c r="Q18" s="4"/>
      <c r="R18" s="76"/>
      <c r="S18" s="4"/>
      <c r="T18" s="4"/>
      <c r="U18" s="4"/>
      <c r="V18" s="4"/>
      <c r="W18" s="4"/>
      <c r="X18" s="64"/>
      <c r="Y18" s="4"/>
      <c r="Z18" s="64"/>
      <c r="AA18" s="68"/>
      <c r="AB18" s="68"/>
      <c r="AC18" s="68"/>
    </row>
    <row r="19" spans="2:31" ht="12.95" customHeight="1" x14ac:dyDescent="0.25">
      <c r="B19" s="14" t="s">
        <v>45</v>
      </c>
      <c r="C19" s="15" t="s">
        <v>46</v>
      </c>
      <c r="D19" s="13">
        <f>SUM(2/5)</f>
        <v>0.4</v>
      </c>
      <c r="E19" s="164"/>
      <c r="F19" s="164"/>
      <c r="G19" s="138" t="s">
        <v>47</v>
      </c>
      <c r="H19" s="11"/>
      <c r="I19" s="5" t="s">
        <v>20</v>
      </c>
      <c r="L19" t="s">
        <v>48</v>
      </c>
      <c r="M19">
        <v>5625</v>
      </c>
      <c r="N19" s="53"/>
      <c r="R19" s="53"/>
      <c r="X19" s="54"/>
      <c r="Z19" s="54"/>
      <c r="AA19" s="59"/>
      <c r="AB19" s="59"/>
      <c r="AC19" s="59"/>
    </row>
    <row r="20" spans="2:31" x14ac:dyDescent="0.25">
      <c r="B20" s="8"/>
      <c r="C20" s="147" t="s">
        <v>49</v>
      </c>
      <c r="D20" s="16">
        <v>54</v>
      </c>
      <c r="E20" s="164">
        <v>22</v>
      </c>
      <c r="F20" s="164">
        <v>276</v>
      </c>
      <c r="G20" s="138" t="s">
        <v>50</v>
      </c>
      <c r="H20" s="11"/>
      <c r="I20" s="5" t="s">
        <v>20</v>
      </c>
      <c r="L20" t="s">
        <v>51</v>
      </c>
      <c r="M20">
        <f>M19-M24</f>
        <v>5222</v>
      </c>
      <c r="N20" s="53">
        <f>((1-D28)*M20)</f>
        <v>2872.1000000000004</v>
      </c>
      <c r="O20">
        <f>C10</f>
        <v>3887000</v>
      </c>
      <c r="P20">
        <f>N20/O20</f>
        <v>7.3889889374839212E-4</v>
      </c>
      <c r="R20" s="53">
        <f>D28*M20</f>
        <v>2349.9</v>
      </c>
      <c r="S20" s="2">
        <f>C13</f>
        <v>846000</v>
      </c>
      <c r="T20">
        <f>R20/S20</f>
        <v>2.7776595744680851E-3</v>
      </c>
      <c r="V20">
        <f>T20-P20</f>
        <v>2.038760680719693E-3</v>
      </c>
      <c r="X20" s="54">
        <f>V20*S20</f>
        <v>1724.7915358888604</v>
      </c>
      <c r="Z20" s="54">
        <f>X20*D15</f>
        <v>462.24413161821462</v>
      </c>
      <c r="AA20" s="59">
        <f>Z20*D31*D29</f>
        <v>3757756.9993925835</v>
      </c>
      <c r="AB20" s="59">
        <f>Z21*D31*D29</f>
        <v>3326138.1347977291</v>
      </c>
      <c r="AC20" s="59">
        <f>Z22*D31*D29</f>
        <v>4236275.4353642715</v>
      </c>
    </row>
    <row r="21" spans="2:31" ht="15" customHeight="1" x14ac:dyDescent="0.25">
      <c r="B21" s="8"/>
      <c r="C21" s="15" t="s">
        <v>52</v>
      </c>
      <c r="D21">
        <v>26</v>
      </c>
      <c r="E21" s="164">
        <v>10.1</v>
      </c>
      <c r="F21" s="164">
        <v>35.9</v>
      </c>
      <c r="G21" s="138" t="s">
        <v>53</v>
      </c>
      <c r="H21" s="11"/>
      <c r="I21" s="5" t="s">
        <v>20</v>
      </c>
      <c r="N21" s="53"/>
      <c r="R21" s="53"/>
      <c r="X21" s="54"/>
      <c r="Y21" t="s">
        <v>34</v>
      </c>
      <c r="Z21" s="54">
        <f>X20*E15</f>
        <v>409.15041446541886</v>
      </c>
      <c r="AA21" s="59"/>
      <c r="AB21" s="59"/>
      <c r="AC21" s="59"/>
    </row>
    <row r="22" spans="2:31" ht="15.95" customHeight="1" x14ac:dyDescent="0.25">
      <c r="B22" s="8"/>
      <c r="C22" s="15"/>
      <c r="H22" s="11"/>
      <c r="I22" s="5" t="s">
        <v>20</v>
      </c>
      <c r="N22" s="53"/>
      <c r="R22" s="53"/>
      <c r="X22" s="54"/>
      <c r="Y22" t="s">
        <v>36</v>
      </c>
      <c r="Z22" s="54">
        <f>X20*F15</f>
        <v>521.10699553804591</v>
      </c>
      <c r="AA22" s="59"/>
      <c r="AB22" s="59"/>
      <c r="AC22" s="59"/>
      <c r="AE22" s="1" t="s">
        <v>54</v>
      </c>
    </row>
    <row r="23" spans="2:31" ht="24.6" customHeight="1" x14ac:dyDescent="0.25">
      <c r="B23" s="17" t="s">
        <v>55</v>
      </c>
      <c r="C23" s="15" t="s">
        <v>56</v>
      </c>
      <c r="D23" s="13">
        <f>SUM(2/5)</f>
        <v>0.4</v>
      </c>
      <c r="E23" s="164"/>
      <c r="F23" s="164"/>
      <c r="G23" s="138" t="s">
        <v>47</v>
      </c>
      <c r="H23" s="11"/>
      <c r="I23" s="5" t="s">
        <v>20</v>
      </c>
      <c r="N23" s="53"/>
      <c r="R23" s="53"/>
      <c r="X23" s="54"/>
      <c r="Z23" s="54"/>
      <c r="AA23" s="59"/>
      <c r="AB23" s="59"/>
      <c r="AC23" s="59"/>
    </row>
    <row r="24" spans="2:31" ht="17.45" customHeight="1" x14ac:dyDescent="0.25">
      <c r="B24" s="8"/>
      <c r="C24" s="15" t="s">
        <v>57</v>
      </c>
      <c r="D24" s="16">
        <v>52.62</v>
      </c>
      <c r="E24" s="164"/>
      <c r="F24" s="164"/>
      <c r="G24" s="138" t="s">
        <v>58</v>
      </c>
      <c r="H24" s="11"/>
      <c r="I24" s="5" t="s">
        <v>20</v>
      </c>
      <c r="L24" t="s">
        <v>59</v>
      </c>
      <c r="M24">
        <v>403</v>
      </c>
      <c r="N24" s="53">
        <f>((1-D28)*M24)</f>
        <v>221.65</v>
      </c>
      <c r="O24">
        <f>C10</f>
        <v>3887000</v>
      </c>
      <c r="P24">
        <f>N24/O24</f>
        <v>5.7023411371237462E-5</v>
      </c>
      <c r="R24" s="53">
        <f>D28*M24</f>
        <v>181.35</v>
      </c>
      <c r="S24" s="2">
        <f>C13</f>
        <v>846000</v>
      </c>
      <c r="T24">
        <f>R24/S24</f>
        <v>2.1436170212765958E-4</v>
      </c>
      <c r="V24">
        <f>T24-P24</f>
        <v>1.5733829075642212E-4</v>
      </c>
      <c r="X24" s="54">
        <f>V24*S24</f>
        <v>133.10819397993311</v>
      </c>
      <c r="Z24" s="54">
        <f>X24*D15</f>
        <v>35.672995986622077</v>
      </c>
      <c r="AA24" s="59">
        <f>Z24*D31*D32</f>
        <v>750707.27205094113</v>
      </c>
      <c r="AB24" s="59">
        <f>Z25*D31*D32</f>
        <v>664480.45630471176</v>
      </c>
      <c r="AC24" s="59">
        <f>Z26*D31*D32</f>
        <v>846303.46673634928</v>
      </c>
    </row>
    <row r="25" spans="2:31" ht="24" x14ac:dyDescent="0.25">
      <c r="B25" s="8"/>
      <c r="C25" s="147" t="s">
        <v>60</v>
      </c>
      <c r="D25">
        <f>2.7*365</f>
        <v>985.50000000000011</v>
      </c>
      <c r="E25" s="164">
        <v>182.5</v>
      </c>
      <c r="F25" s="164">
        <v>1826</v>
      </c>
      <c r="G25" s="138" t="s">
        <v>61</v>
      </c>
      <c r="H25" s="11"/>
      <c r="I25" s="5" t="s">
        <v>20</v>
      </c>
      <c r="N25" s="53"/>
      <c r="R25" s="53"/>
      <c r="X25" s="54"/>
      <c r="Y25" t="s">
        <v>62</v>
      </c>
      <c r="Z25" s="54">
        <f>X24*E15</f>
        <v>31.575568178775139</v>
      </c>
      <c r="AA25" s="59"/>
      <c r="AB25" s="59"/>
      <c r="AC25" s="59"/>
    </row>
    <row r="26" spans="2:31" ht="26.45" customHeight="1" x14ac:dyDescent="0.25">
      <c r="B26" s="8"/>
      <c r="C26" s="147"/>
      <c r="G26" s="138"/>
      <c r="H26" s="11"/>
      <c r="I26" s="5" t="s">
        <v>20</v>
      </c>
      <c r="N26" s="53"/>
      <c r="R26" s="53"/>
      <c r="X26" s="54"/>
      <c r="Y26" t="s">
        <v>36</v>
      </c>
      <c r="Z26" s="54">
        <f>X24*F15</f>
        <v>40.21564902371361</v>
      </c>
      <c r="AA26" s="59"/>
      <c r="AB26" s="59"/>
      <c r="AC26" s="59"/>
    </row>
    <row r="27" spans="2:31" x14ac:dyDescent="0.25">
      <c r="B27" s="49" t="s">
        <v>44</v>
      </c>
      <c r="C27" s="148"/>
      <c r="D27" s="4"/>
      <c r="E27" s="4"/>
      <c r="F27" s="4"/>
      <c r="G27" s="4"/>
      <c r="H27" s="18"/>
      <c r="I27" s="5" t="s">
        <v>20</v>
      </c>
      <c r="J27" s="33"/>
      <c r="N27" s="53"/>
      <c r="R27" s="53"/>
      <c r="X27" s="54"/>
      <c r="Z27" s="54"/>
      <c r="AA27" s="59"/>
      <c r="AB27" s="59"/>
      <c r="AC27" s="59"/>
    </row>
    <row r="28" spans="2:31" ht="24.6" customHeight="1" x14ac:dyDescent="0.25">
      <c r="B28" s="8"/>
      <c r="C28" s="15" t="s">
        <v>63</v>
      </c>
      <c r="D28">
        <v>0.45</v>
      </c>
      <c r="G28" s="138" t="s">
        <v>64</v>
      </c>
      <c r="H28" s="11"/>
      <c r="I28" s="5" t="s">
        <v>20</v>
      </c>
      <c r="J28" s="29" t="s">
        <v>65</v>
      </c>
      <c r="K28" s="28"/>
      <c r="L28" s="28"/>
      <c r="M28" s="28"/>
      <c r="N28" s="77"/>
      <c r="O28" s="28"/>
      <c r="P28" s="28"/>
      <c r="Q28" s="28"/>
      <c r="R28" s="77"/>
      <c r="S28" s="28"/>
      <c r="T28" s="28"/>
      <c r="U28" s="28"/>
      <c r="V28" s="28"/>
      <c r="W28" s="28"/>
      <c r="X28" s="65"/>
      <c r="Y28" s="28"/>
      <c r="Z28" s="65"/>
      <c r="AA28" s="69"/>
      <c r="AB28" s="69"/>
      <c r="AC28" s="69"/>
    </row>
    <row r="29" spans="2:31" ht="14.45" customHeight="1" x14ac:dyDescent="0.25">
      <c r="B29" s="8"/>
      <c r="C29" s="15" t="s">
        <v>66</v>
      </c>
      <c r="D29">
        <f>30*4.7</f>
        <v>141</v>
      </c>
      <c r="E29">
        <f>2.1*30</f>
        <v>63</v>
      </c>
      <c r="F29">
        <f>11.3*30</f>
        <v>339</v>
      </c>
      <c r="G29" s="38" t="s">
        <v>67</v>
      </c>
      <c r="H29" s="163"/>
      <c r="I29" s="5" t="s">
        <v>20</v>
      </c>
      <c r="K29" s="45" t="s">
        <v>68</v>
      </c>
      <c r="L29" s="30"/>
      <c r="M29" s="30"/>
      <c r="N29" s="78"/>
      <c r="O29" s="30"/>
      <c r="P29" s="30"/>
      <c r="Q29" s="30"/>
      <c r="R29" s="78"/>
      <c r="S29" s="30"/>
      <c r="T29" s="30"/>
      <c r="U29" s="30"/>
      <c r="V29" s="30"/>
      <c r="W29" s="30"/>
      <c r="X29" s="66"/>
      <c r="Y29" s="30"/>
      <c r="Z29" s="66"/>
      <c r="AA29" s="70"/>
      <c r="AB29" s="70"/>
      <c r="AC29" s="70"/>
    </row>
    <row r="30" spans="2:31" ht="24.75" x14ac:dyDescent="0.25">
      <c r="B30" s="8"/>
      <c r="C30" s="15" t="s">
        <v>69</v>
      </c>
      <c r="D30" s="19">
        <v>20571</v>
      </c>
      <c r="G30" s="138" t="s">
        <v>70</v>
      </c>
      <c r="H30" s="11"/>
      <c r="I30" s="5" t="s">
        <v>20</v>
      </c>
      <c r="J30" s="33"/>
      <c r="M30" s="53">
        <f>D40</f>
        <v>116627</v>
      </c>
      <c r="N30" s="53">
        <f>(1-D37)*M30</f>
        <v>84321.320999999996</v>
      </c>
      <c r="O30" s="53">
        <f>D41</f>
        <v>2618531.7701332271</v>
      </c>
      <c r="P30">
        <f>N30/O30</f>
        <v>3.2201755946505033E-2</v>
      </c>
      <c r="R30" s="53">
        <f>M30*D37</f>
        <v>32305.679000000004</v>
      </c>
      <c r="S30" s="2">
        <f>D44</f>
        <v>569919.7009345796</v>
      </c>
      <c r="T30">
        <f>R30/S30</f>
        <v>5.6684615301109471E-2</v>
      </c>
      <c r="V30">
        <f>T30-P30</f>
        <v>2.4482859354604439E-2</v>
      </c>
      <c r="X30" s="54">
        <f>V30*S30</f>
        <v>13953.263881399536</v>
      </c>
      <c r="Z30" s="54">
        <f>X30*D15</f>
        <v>3739.4747202150761</v>
      </c>
      <c r="AA30" s="59">
        <f>Z30*D38</f>
        <v>174895232.66445911</v>
      </c>
      <c r="AB30" s="59">
        <f>Z31*D38</f>
        <v>154806631.4702124</v>
      </c>
      <c r="AC30" s="59">
        <f>Z32*D38</f>
        <v>197166655.00683767</v>
      </c>
      <c r="AE30" s="27" t="s">
        <v>71</v>
      </c>
    </row>
    <row r="31" spans="2:31" ht="28.5" customHeight="1" x14ac:dyDescent="0.25">
      <c r="B31" s="8"/>
      <c r="C31" s="15" t="s">
        <v>72</v>
      </c>
      <c r="D31" s="16">
        <f>D30/365*1.023</f>
        <v>57.655158904109584</v>
      </c>
      <c r="G31" s="138"/>
      <c r="H31" s="11"/>
      <c r="I31" s="5" t="s">
        <v>20</v>
      </c>
      <c r="N31" s="53"/>
      <c r="R31" s="53"/>
      <c r="Y31" t="s">
        <v>34</v>
      </c>
      <c r="Z31" s="54">
        <f>X30*E15</f>
        <v>3309.9557722944705</v>
      </c>
      <c r="AA31" s="59"/>
      <c r="AB31" s="59"/>
      <c r="AC31" s="59"/>
    </row>
    <row r="32" spans="2:31" ht="24.75" x14ac:dyDescent="0.25">
      <c r="B32" s="8"/>
      <c r="C32" s="15" t="s">
        <v>73</v>
      </c>
      <c r="D32">
        <v>365</v>
      </c>
      <c r="E32" s="164">
        <f>8*30</f>
        <v>240</v>
      </c>
      <c r="F32">
        <v>365</v>
      </c>
      <c r="G32" s="38" t="s">
        <v>74</v>
      </c>
      <c r="H32" s="11"/>
      <c r="I32" s="5" t="s">
        <v>20</v>
      </c>
      <c r="N32" s="53"/>
      <c r="R32" s="53"/>
      <c r="Y32" t="s">
        <v>36</v>
      </c>
      <c r="Z32" s="54">
        <f>X30*F15</f>
        <v>4215.6650632208184</v>
      </c>
      <c r="AA32" s="59"/>
      <c r="AB32" s="59"/>
      <c r="AC32" s="59"/>
    </row>
    <row r="33" spans="2:31" x14ac:dyDescent="0.25">
      <c r="B33" s="8"/>
      <c r="C33" s="15"/>
      <c r="H33" s="11"/>
      <c r="I33" s="5" t="s">
        <v>20</v>
      </c>
      <c r="N33" s="53"/>
      <c r="R33" s="53"/>
      <c r="AA33" s="59"/>
      <c r="AB33" s="59"/>
      <c r="AC33" s="59"/>
    </row>
    <row r="34" spans="2:31" x14ac:dyDescent="0.25">
      <c r="B34" s="8"/>
      <c r="H34" s="11"/>
      <c r="I34" s="5" t="s">
        <v>20</v>
      </c>
      <c r="K34" s="81" t="s">
        <v>75</v>
      </c>
      <c r="L34" s="82"/>
      <c r="M34" s="82"/>
      <c r="N34" s="85"/>
      <c r="O34" s="82"/>
      <c r="P34" s="82"/>
      <c r="Q34" s="82"/>
      <c r="R34" s="85"/>
      <c r="S34" s="82"/>
      <c r="T34" s="82"/>
      <c r="U34" s="82"/>
      <c r="V34" s="82"/>
      <c r="W34" s="82"/>
      <c r="X34" s="82"/>
      <c r="Y34" s="82"/>
      <c r="Z34" s="82"/>
      <c r="AA34" s="86"/>
      <c r="AB34" s="86"/>
      <c r="AC34" s="86"/>
    </row>
    <row r="35" spans="2:31" x14ac:dyDescent="0.25">
      <c r="B35" s="35" t="s">
        <v>65</v>
      </c>
      <c r="C35" s="29"/>
      <c r="D35" s="29"/>
      <c r="E35" s="29"/>
      <c r="F35" s="29"/>
      <c r="G35" s="29"/>
      <c r="H35" s="36"/>
      <c r="I35" s="5" t="s">
        <v>20</v>
      </c>
      <c r="L35" t="s">
        <v>76</v>
      </c>
      <c r="M35" s="53"/>
      <c r="N35" s="53"/>
      <c r="O35" s="53"/>
      <c r="R35" s="53"/>
      <c r="S35" s="53"/>
      <c r="X35" s="96">
        <f>S30-R30</f>
        <v>537614.02193457959</v>
      </c>
      <c r="Z35" s="54">
        <f>X35*D15</f>
        <v>144080.55787846734</v>
      </c>
      <c r="AA35" s="59">
        <f>Z35*D49*D47</f>
        <v>101099598.49662597</v>
      </c>
      <c r="AB35" s="59">
        <f>Z36*D49*D47</f>
        <v>89487220.708183855</v>
      </c>
      <c r="AC35" s="59">
        <f>Z37*D49*D47</f>
        <v>113973773.63828391</v>
      </c>
      <c r="AE35" s="27" t="s">
        <v>71</v>
      </c>
    </row>
    <row r="36" spans="2:31" x14ac:dyDescent="0.25">
      <c r="B36" s="50" t="s">
        <v>68</v>
      </c>
      <c r="C36" s="149"/>
      <c r="D36" s="30"/>
      <c r="E36" s="30"/>
      <c r="F36" s="30"/>
      <c r="G36" s="30"/>
      <c r="H36" s="37"/>
      <c r="I36" s="5" t="s">
        <v>20</v>
      </c>
      <c r="N36" s="53"/>
      <c r="R36" s="53"/>
      <c r="Y36" t="s">
        <v>34</v>
      </c>
      <c r="Z36" s="54">
        <f>X35*E15</f>
        <v>127531.35397524806</v>
      </c>
      <c r="AA36" s="59"/>
      <c r="AB36" s="59"/>
      <c r="AC36" s="59"/>
    </row>
    <row r="37" spans="2:31" x14ac:dyDescent="0.25">
      <c r="B37" s="8"/>
      <c r="C37" s="15" t="s">
        <v>77</v>
      </c>
      <c r="D37">
        <v>0.27700000000000002</v>
      </c>
      <c r="E37" s="157"/>
      <c r="F37" s="157"/>
      <c r="G37" s="138" t="s">
        <v>19</v>
      </c>
      <c r="H37" s="11"/>
      <c r="I37" s="5" t="s">
        <v>20</v>
      </c>
      <c r="N37" s="53"/>
      <c r="R37" s="53"/>
      <c r="Y37" t="s">
        <v>36</v>
      </c>
      <c r="Z37" s="54">
        <f>X35*F15</f>
        <v>162427.99312270398</v>
      </c>
      <c r="AA37" s="59"/>
      <c r="AB37" s="59"/>
      <c r="AC37" s="59"/>
    </row>
    <row r="38" spans="2:31" ht="24.75" x14ac:dyDescent="0.25">
      <c r="B38" s="8"/>
      <c r="C38" s="15" t="s">
        <v>78</v>
      </c>
      <c r="D38" s="40">
        <v>46770</v>
      </c>
      <c r="E38">
        <v>25620</v>
      </c>
      <c r="F38">
        <v>56250</v>
      </c>
      <c r="G38" s="38" t="s">
        <v>79</v>
      </c>
      <c r="H38" s="11"/>
      <c r="I38" s="5" t="s">
        <v>20</v>
      </c>
      <c r="N38" s="53"/>
      <c r="R38" s="53"/>
      <c r="Z38" s="54"/>
      <c r="AA38" s="59"/>
      <c r="AB38" s="59"/>
      <c r="AC38" s="59"/>
    </row>
    <row r="39" spans="2:31" x14ac:dyDescent="0.25">
      <c r="B39" s="8"/>
      <c r="C39" s="15" t="s">
        <v>80</v>
      </c>
      <c r="D39">
        <v>3387856</v>
      </c>
      <c r="G39" s="38" t="s">
        <v>81</v>
      </c>
      <c r="H39" s="11"/>
      <c r="I39" s="5" t="s">
        <v>20</v>
      </c>
      <c r="L39" t="s">
        <v>82</v>
      </c>
      <c r="M39" s="53"/>
      <c r="N39" s="53"/>
      <c r="O39" s="53"/>
      <c r="R39" s="53"/>
      <c r="S39" s="53"/>
      <c r="X39" s="54">
        <f>S30-R30</f>
        <v>537614.02193457959</v>
      </c>
      <c r="Z39" s="54">
        <f>X39*D15</f>
        <v>144080.55787846734</v>
      </c>
      <c r="AA39" s="59">
        <f>Z39*D52*D47</f>
        <v>589747657.89698493</v>
      </c>
      <c r="AB39" s="59">
        <f>Z40*D52*D47</f>
        <v>522008787.46440583</v>
      </c>
      <c r="AC39" s="59">
        <f>Z41*D52*D47</f>
        <v>664847012.88998938</v>
      </c>
      <c r="AE39" s="27" t="s">
        <v>71</v>
      </c>
    </row>
    <row r="40" spans="2:31" x14ac:dyDescent="0.25">
      <c r="B40" s="8"/>
      <c r="C40" s="15" t="s">
        <v>83</v>
      </c>
      <c r="D40" s="74">
        <v>116627</v>
      </c>
      <c r="G40" s="38" t="s">
        <v>81</v>
      </c>
      <c r="H40" s="11"/>
      <c r="I40" s="5" t="s">
        <v>20</v>
      </c>
      <c r="N40" s="53"/>
      <c r="R40" s="53"/>
      <c r="Y40" t="s">
        <v>62</v>
      </c>
      <c r="Z40" s="54">
        <f>X39*E15</f>
        <v>127531.35397524806</v>
      </c>
      <c r="AA40" s="59"/>
      <c r="AB40" s="59"/>
      <c r="AC40" s="59"/>
    </row>
    <row r="41" spans="2:31" x14ac:dyDescent="0.25">
      <c r="B41" s="8"/>
      <c r="C41" s="15" t="s">
        <v>84</v>
      </c>
      <c r="D41" s="53">
        <f>D39*D10</f>
        <v>2618531.7701332271</v>
      </c>
      <c r="E41" s="53">
        <f>D39*E10</f>
        <v>2507013.44</v>
      </c>
      <c r="F41" s="53">
        <f>D39*F10</f>
        <v>2710284.8000000003</v>
      </c>
      <c r="G41" s="38"/>
      <c r="H41" s="11"/>
      <c r="I41" s="5" t="s">
        <v>20</v>
      </c>
      <c r="N41" s="53"/>
      <c r="R41" s="53"/>
      <c r="Y41" t="s">
        <v>36</v>
      </c>
      <c r="Z41" s="54">
        <f>X39*F15</f>
        <v>162427.99312270398</v>
      </c>
      <c r="AA41" s="59"/>
      <c r="AB41" s="59"/>
      <c r="AC41" s="59"/>
    </row>
    <row r="42" spans="2:31" x14ac:dyDescent="0.25">
      <c r="B42" s="8"/>
      <c r="C42" s="15" t="s">
        <v>85</v>
      </c>
      <c r="D42" s="53">
        <f>D39-D41</f>
        <v>769324.22986677289</v>
      </c>
      <c r="E42" s="53">
        <f>D39-E41</f>
        <v>880842.56</v>
      </c>
      <c r="F42" s="53">
        <f>D39-F41</f>
        <v>677571.19999999972</v>
      </c>
      <c r="G42" s="38"/>
      <c r="H42" s="11"/>
      <c r="I42" s="5" t="s">
        <v>20</v>
      </c>
      <c r="N42" s="53"/>
      <c r="R42" s="53"/>
      <c r="AA42" s="59"/>
      <c r="AB42" s="59"/>
      <c r="AC42" s="59"/>
    </row>
    <row r="43" spans="2:31" x14ac:dyDescent="0.25">
      <c r="B43" s="8"/>
      <c r="C43" s="15" t="s">
        <v>86</v>
      </c>
      <c r="D43" s="13">
        <f>C13/C11</f>
        <v>0.74080560420315233</v>
      </c>
      <c r="G43" s="38"/>
      <c r="H43" s="11"/>
      <c r="I43" s="5" t="s">
        <v>20</v>
      </c>
      <c r="K43" s="46" t="s">
        <v>87</v>
      </c>
      <c r="L43" s="32"/>
      <c r="M43" s="32"/>
      <c r="N43" s="79"/>
      <c r="O43" s="32"/>
      <c r="P43" s="32"/>
      <c r="Q43" s="32"/>
      <c r="R43" s="79"/>
      <c r="S43" s="32"/>
      <c r="T43" s="32"/>
      <c r="U43" s="32"/>
      <c r="V43" s="32"/>
      <c r="W43" s="32"/>
      <c r="X43" s="32"/>
      <c r="Y43" s="32"/>
      <c r="Z43" s="32"/>
      <c r="AA43" s="71"/>
      <c r="AB43" s="71"/>
      <c r="AC43" s="71"/>
    </row>
    <row r="44" spans="2:31" x14ac:dyDescent="0.25">
      <c r="B44" s="8"/>
      <c r="C44" s="15" t="s">
        <v>88</v>
      </c>
      <c r="D44" s="53">
        <f>D43*D42</f>
        <v>569919.7009345796</v>
      </c>
      <c r="E44" s="53">
        <f>E42*D43</f>
        <v>652533.10486865148</v>
      </c>
      <c r="F44" s="53">
        <f>F42*D43</f>
        <v>501948.54220665479</v>
      </c>
      <c r="H44" s="11"/>
      <c r="I44" s="5" t="s">
        <v>20</v>
      </c>
      <c r="L44" t="s">
        <v>89</v>
      </c>
      <c r="M44">
        <v>15968</v>
      </c>
      <c r="N44" s="53">
        <f>M44-R44</f>
        <v>11053.048517856652</v>
      </c>
      <c r="O44" s="53">
        <f>D57</f>
        <v>3797894.2543249154</v>
      </c>
      <c r="P44">
        <f>N44/O44</f>
        <v>2.9103097078782038E-3</v>
      </c>
      <c r="R44" s="53">
        <f>S44*D61</f>
        <v>4914.9514821433477</v>
      </c>
      <c r="S44" s="2">
        <f>D59</f>
        <v>840245.45</v>
      </c>
      <c r="T44">
        <f>R44/S44</f>
        <v>5.8494235013630217E-3</v>
      </c>
      <c r="V44">
        <f>T44-P44</f>
        <v>2.9391137934848179E-3</v>
      </c>
      <c r="X44" s="54">
        <f>ABS(V44*S44)</f>
        <v>2469.5769920078578</v>
      </c>
      <c r="Z44" s="54">
        <v>8632.7999999999993</v>
      </c>
      <c r="AA44" s="72">
        <f>Z44*D62</f>
        <v>403756055.99999994</v>
      </c>
      <c r="AB44" s="72">
        <f>Z45*D62</f>
        <v>357346185</v>
      </c>
      <c r="AC44" s="72">
        <f>Z46*D62</f>
        <v>455128224.00000006</v>
      </c>
    </row>
    <row r="45" spans="2:31" x14ac:dyDescent="0.25">
      <c r="B45" s="8"/>
      <c r="C45" s="15"/>
      <c r="D45" s="53"/>
      <c r="H45" s="11"/>
      <c r="I45" s="5" t="s">
        <v>20</v>
      </c>
      <c r="S45" s="2"/>
      <c r="Y45" t="s">
        <v>34</v>
      </c>
      <c r="Z45" s="54">
        <v>7640.5</v>
      </c>
      <c r="AA45" s="72"/>
      <c r="AB45" s="72"/>
      <c r="AC45" s="72"/>
    </row>
    <row r="46" spans="2:31" x14ac:dyDescent="0.25">
      <c r="B46" s="83" t="s">
        <v>75</v>
      </c>
      <c r="C46" s="82"/>
      <c r="D46" s="82"/>
      <c r="E46" s="82"/>
      <c r="F46" s="82"/>
      <c r="G46" s="82"/>
      <c r="H46" s="84"/>
      <c r="I46" s="5" t="s">
        <v>20</v>
      </c>
      <c r="S46" s="2"/>
      <c r="Y46" t="s">
        <v>36</v>
      </c>
      <c r="Z46" s="54">
        <v>9731.2000000000007</v>
      </c>
      <c r="AA46" s="72"/>
      <c r="AB46" s="72"/>
      <c r="AC46" s="72"/>
    </row>
    <row r="47" spans="2:31" x14ac:dyDescent="0.25">
      <c r="B47" s="8"/>
      <c r="C47" s="15" t="s">
        <v>90</v>
      </c>
      <c r="D47">
        <v>22.49</v>
      </c>
      <c r="E47">
        <v>12.32</v>
      </c>
      <c r="F47">
        <v>27.05</v>
      </c>
      <c r="G47" s="38" t="s">
        <v>91</v>
      </c>
      <c r="H47" s="11"/>
      <c r="I47" s="5" t="s">
        <v>20</v>
      </c>
      <c r="AA47" s="59"/>
      <c r="AB47" s="59"/>
      <c r="AC47" s="59"/>
    </row>
    <row r="48" spans="2:31" ht="24.75" x14ac:dyDescent="0.25">
      <c r="B48" s="60" t="s">
        <v>92</v>
      </c>
      <c r="C48" s="15" t="s">
        <v>93</v>
      </c>
      <c r="D48">
        <v>0.6</v>
      </c>
      <c r="E48">
        <f>D48-0.2</f>
        <v>0.39999999999999997</v>
      </c>
      <c r="F48">
        <f>D48+0.2</f>
        <v>0.8</v>
      </c>
      <c r="G48" s="38" t="s">
        <v>94</v>
      </c>
      <c r="H48" s="11"/>
      <c r="I48" s="5" t="s">
        <v>20</v>
      </c>
      <c r="L48" t="s">
        <v>95</v>
      </c>
      <c r="M48" s="193" t="s">
        <v>96</v>
      </c>
      <c r="N48" s="193"/>
      <c r="O48" s="193"/>
      <c r="P48" s="193"/>
      <c r="Q48" s="193"/>
      <c r="R48" s="193"/>
      <c r="S48" s="193"/>
      <c r="T48" s="193"/>
      <c r="U48" s="193"/>
      <c r="V48" s="193"/>
      <c r="W48" s="193"/>
      <c r="X48" s="193"/>
      <c r="Y48" s="193"/>
      <c r="Z48" s="193"/>
      <c r="AA48" s="193"/>
      <c r="AB48" s="193"/>
      <c r="AC48" s="193"/>
    </row>
    <row r="49" spans="2:29" ht="24.75" x14ac:dyDescent="0.25">
      <c r="B49" s="8"/>
      <c r="C49" s="15" t="s">
        <v>97</v>
      </c>
      <c r="D49">
        <f>D48*52</f>
        <v>31.2</v>
      </c>
      <c r="E49">
        <f t="shared" ref="E49:F49" si="0">E48*52</f>
        <v>20.799999999999997</v>
      </c>
      <c r="F49">
        <f t="shared" si="0"/>
        <v>41.6</v>
      </c>
      <c r="G49" s="38"/>
      <c r="H49" s="11"/>
      <c r="I49" s="5" t="s">
        <v>20</v>
      </c>
      <c r="AA49" s="59"/>
      <c r="AB49" s="59"/>
      <c r="AC49" s="59"/>
    </row>
    <row r="50" spans="2:29" x14ac:dyDescent="0.25">
      <c r="B50" s="60" t="s">
        <v>98</v>
      </c>
      <c r="H50" s="11"/>
      <c r="I50" s="5" t="s">
        <v>20</v>
      </c>
      <c r="K50" s="47" t="s">
        <v>99</v>
      </c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73"/>
      <c r="AB50" s="73"/>
      <c r="AC50" s="73"/>
    </row>
    <row r="51" spans="2:29" ht="26.1" customHeight="1" x14ac:dyDescent="0.25">
      <c r="B51" s="61"/>
      <c r="C51" s="15" t="s">
        <v>100</v>
      </c>
      <c r="D51">
        <v>3.5</v>
      </c>
      <c r="E51">
        <f>D51-0.5</f>
        <v>3</v>
      </c>
      <c r="F51">
        <f>D51+0.5</f>
        <v>4</v>
      </c>
      <c r="G51" s="38" t="s">
        <v>94</v>
      </c>
      <c r="H51" s="11"/>
      <c r="I51" s="5" t="s">
        <v>20</v>
      </c>
      <c r="L51" t="s">
        <v>101</v>
      </c>
      <c r="X51">
        <f>D77</f>
        <v>131895</v>
      </c>
      <c r="Z51" s="54">
        <f>X51*D15</f>
        <v>35347.86</v>
      </c>
      <c r="AA51" s="59">
        <f>Z51*D73*D76</f>
        <v>305905753.31472009</v>
      </c>
      <c r="AB51" s="59">
        <f>Z52*D73*D76</f>
        <v>270769182.76476818</v>
      </c>
      <c r="AC51" s="59">
        <f>Z53*D73*D76</f>
        <v>344860252.67552561</v>
      </c>
    </row>
    <row r="52" spans="2:29" x14ac:dyDescent="0.25">
      <c r="B52" s="8"/>
      <c r="C52" s="15" t="s">
        <v>102</v>
      </c>
      <c r="D52" s="2">
        <f>D51*52</f>
        <v>182</v>
      </c>
      <c r="E52" s="2">
        <f t="shared" ref="E52:F52" si="1">E51*52</f>
        <v>156</v>
      </c>
      <c r="F52" s="2">
        <f t="shared" si="1"/>
        <v>208</v>
      </c>
      <c r="G52" s="38"/>
      <c r="H52" s="11"/>
      <c r="I52" s="5" t="s">
        <v>20</v>
      </c>
      <c r="Y52" t="s">
        <v>34</v>
      </c>
      <c r="Z52" s="54">
        <f>X51*E15</f>
        <v>31287.777562119096</v>
      </c>
      <c r="AA52" s="59"/>
      <c r="AB52" s="59"/>
      <c r="AC52" s="59"/>
    </row>
    <row r="53" spans="2:29" x14ac:dyDescent="0.25">
      <c r="B53" s="8"/>
      <c r="H53" s="11"/>
      <c r="I53" s="5" t="s">
        <v>20</v>
      </c>
      <c r="Y53" t="s">
        <v>36</v>
      </c>
      <c r="Z53" s="54">
        <f>X51*F15</f>
        <v>39849.109730858152</v>
      </c>
      <c r="AA53" s="59"/>
      <c r="AB53" s="59"/>
      <c r="AC53" s="59"/>
    </row>
    <row r="54" spans="2:29" x14ac:dyDescent="0.25">
      <c r="B54" s="51" t="s">
        <v>87</v>
      </c>
      <c r="C54" s="32"/>
      <c r="D54" s="32"/>
      <c r="E54" s="32"/>
      <c r="F54" s="32"/>
      <c r="G54" s="32"/>
      <c r="H54" s="41"/>
      <c r="I54" s="5" t="s">
        <v>20</v>
      </c>
      <c r="Z54" s="54"/>
      <c r="AA54" s="59"/>
      <c r="AB54" s="59"/>
      <c r="AC54" s="59"/>
    </row>
    <row r="55" spans="2:29" x14ac:dyDescent="0.25">
      <c r="B55" s="8"/>
      <c r="C55" s="150" t="s">
        <v>103</v>
      </c>
      <c r="D55">
        <v>17552</v>
      </c>
      <c r="E55">
        <v>11764</v>
      </c>
      <c r="F55">
        <v>32092</v>
      </c>
      <c r="G55" s="38" t="s">
        <v>104</v>
      </c>
      <c r="H55" s="11"/>
      <c r="I55" s="5" t="s">
        <v>20</v>
      </c>
      <c r="L55" t="s">
        <v>105</v>
      </c>
      <c r="X55">
        <f>D77</f>
        <v>131895</v>
      </c>
      <c r="Z55" s="54">
        <f>X55*D15</f>
        <v>35347.86</v>
      </c>
      <c r="AA55" s="59">
        <f>Z55*D79</f>
        <v>12688326.434160002</v>
      </c>
      <c r="AB55" s="59">
        <f>Z56*D79</f>
        <v>11230935.482588023</v>
      </c>
      <c r="AC55" s="59">
        <f>Z57*D79</f>
        <v>14304077.03254992</v>
      </c>
    </row>
    <row r="56" spans="2:29" ht="36.75" x14ac:dyDescent="0.25">
      <c r="B56" s="8"/>
      <c r="C56" s="15" t="s">
        <v>106</v>
      </c>
      <c r="D56">
        <f>C5-115285</f>
        <v>4913715</v>
      </c>
      <c r="G56" s="38" t="s">
        <v>107</v>
      </c>
      <c r="H56" s="11"/>
      <c r="I56" s="5" t="s">
        <v>20</v>
      </c>
      <c r="Y56" t="s">
        <v>62</v>
      </c>
      <c r="Z56" s="54">
        <f>X55*E15</f>
        <v>31287.777562119096</v>
      </c>
      <c r="AA56" s="59"/>
      <c r="AB56" s="59"/>
      <c r="AC56" s="59"/>
    </row>
    <row r="57" spans="2:29" x14ac:dyDescent="0.25">
      <c r="B57" s="8"/>
      <c r="C57" s="15" t="s">
        <v>108</v>
      </c>
      <c r="D57" s="53">
        <f>D56*D10</f>
        <v>3797894.2543249154</v>
      </c>
      <c r="E57">
        <f>D56*E10</f>
        <v>3636149.1</v>
      </c>
      <c r="F57">
        <f>D56*F10</f>
        <v>3930972</v>
      </c>
      <c r="G57" s="38"/>
      <c r="H57" s="11"/>
      <c r="I57" s="5" t="s">
        <v>20</v>
      </c>
      <c r="Y57" t="s">
        <v>36</v>
      </c>
      <c r="Z57" s="54">
        <f>X55*F15</f>
        <v>39849.109730858152</v>
      </c>
      <c r="AA57" s="59"/>
      <c r="AB57" s="59"/>
      <c r="AC57" s="59"/>
    </row>
    <row r="58" spans="2:29" x14ac:dyDescent="0.25">
      <c r="B58" s="8"/>
      <c r="C58" s="15" t="s">
        <v>109</v>
      </c>
      <c r="D58" s="53">
        <f>D56*0.23</f>
        <v>1130154.45</v>
      </c>
      <c r="E58" s="53">
        <f>D56*E11</f>
        <v>987656.71500000008</v>
      </c>
      <c r="F58" s="53">
        <f>D56*F11</f>
        <v>1257911.04</v>
      </c>
      <c r="G58" s="38"/>
      <c r="H58" s="11"/>
      <c r="I58" s="5" t="s">
        <v>20</v>
      </c>
      <c r="AA58" s="59"/>
      <c r="AB58" s="59"/>
      <c r="AC58" s="59"/>
    </row>
    <row r="59" spans="2:29" ht="26.25" customHeight="1" x14ac:dyDescent="0.25">
      <c r="B59" s="8"/>
      <c r="C59" s="15" t="s">
        <v>110</v>
      </c>
      <c r="D59" s="53">
        <f>D58-289909</f>
        <v>840245.45</v>
      </c>
      <c r="E59" s="53">
        <f>E58-289909</f>
        <v>697747.71500000008</v>
      </c>
      <c r="F59" s="53">
        <f>F58-289909</f>
        <v>968002.04</v>
      </c>
      <c r="G59" s="38"/>
      <c r="H59" s="11"/>
      <c r="I59" s="5" t="s">
        <v>20</v>
      </c>
      <c r="J59" s="23" t="s">
        <v>111</v>
      </c>
      <c r="K59" s="28"/>
      <c r="L59" s="28"/>
      <c r="M59" s="28"/>
      <c r="N59" s="77"/>
      <c r="O59" s="28"/>
      <c r="P59" s="28"/>
      <c r="Q59" s="28"/>
      <c r="R59" s="77"/>
      <c r="S59" s="28"/>
      <c r="T59" s="28"/>
      <c r="U59" s="28"/>
      <c r="V59" s="28"/>
      <c r="W59" s="28"/>
      <c r="X59" s="65"/>
      <c r="Y59" s="28"/>
      <c r="Z59" s="65"/>
      <c r="AA59" s="69"/>
      <c r="AB59" s="69"/>
      <c r="AC59" s="69"/>
    </row>
    <row r="60" spans="2:29" ht="18.600000000000001" customHeight="1" x14ac:dyDescent="0.25">
      <c r="B60" s="8"/>
      <c r="C60" s="15" t="s">
        <v>112</v>
      </c>
      <c r="D60" s="151">
        <f>15968/D56</f>
        <v>3.2496797229794564E-3</v>
      </c>
      <c r="G60" s="38" t="s">
        <v>113</v>
      </c>
      <c r="H60" s="11"/>
      <c r="I60" s="5" t="s">
        <v>20</v>
      </c>
      <c r="J60" s="109"/>
      <c r="K60" s="111" t="s">
        <v>114</v>
      </c>
      <c r="L60" s="112"/>
      <c r="M60" s="112"/>
      <c r="N60" s="113"/>
      <c r="O60" s="112"/>
      <c r="P60" s="112"/>
      <c r="Q60" s="112"/>
      <c r="R60" s="113"/>
      <c r="S60" s="112"/>
      <c r="T60" s="112"/>
      <c r="U60" s="112"/>
      <c r="V60" s="112"/>
      <c r="W60" s="112"/>
      <c r="X60" s="114"/>
      <c r="Y60" s="112"/>
      <c r="Z60" s="114"/>
      <c r="AA60" s="115"/>
      <c r="AB60" s="115"/>
      <c r="AC60" s="115"/>
    </row>
    <row r="61" spans="2:29" x14ac:dyDescent="0.25">
      <c r="B61" s="8"/>
      <c r="C61" s="150" t="s">
        <v>115</v>
      </c>
      <c r="D61" s="56">
        <f>D60*1.8</f>
        <v>5.8494235013630217E-3</v>
      </c>
      <c r="G61" s="38" t="s">
        <v>116</v>
      </c>
      <c r="H61" s="11"/>
      <c r="I61" s="5" t="s">
        <v>20</v>
      </c>
      <c r="L61" t="s">
        <v>117</v>
      </c>
      <c r="X61">
        <f>C13*D85</f>
        <v>175122</v>
      </c>
      <c r="Z61" s="54">
        <f>X61*D15</f>
        <v>46932.696000000004</v>
      </c>
      <c r="AA61" s="59">
        <f>Z61*D84</f>
        <v>59400366.692400008</v>
      </c>
      <c r="AB61" s="59">
        <f>Z62*D84</f>
        <v>52577594.801499136</v>
      </c>
      <c r="AC61" s="59">
        <f>Z63*D84</f>
        <v>66964498.851660594</v>
      </c>
    </row>
    <row r="62" spans="2:29" ht="24.75" x14ac:dyDescent="0.25">
      <c r="B62" s="8"/>
      <c r="C62" s="15" t="s">
        <v>78</v>
      </c>
      <c r="D62" s="40">
        <v>46770</v>
      </c>
      <c r="E62">
        <v>25620</v>
      </c>
      <c r="F62">
        <v>56250</v>
      </c>
      <c r="G62" s="38" t="s">
        <v>79</v>
      </c>
      <c r="H62" s="11"/>
      <c r="I62" s="5" t="s">
        <v>20</v>
      </c>
      <c r="Y62" t="s">
        <v>34</v>
      </c>
      <c r="Z62" s="54">
        <f>E15*X61</f>
        <v>41541.970372140109</v>
      </c>
      <c r="AA62" s="59"/>
      <c r="AB62" s="59"/>
      <c r="AC62" s="59"/>
    </row>
    <row r="63" spans="2:29" ht="24.75" x14ac:dyDescent="0.25">
      <c r="B63" s="8"/>
      <c r="C63" s="15" t="s">
        <v>118</v>
      </c>
      <c r="D63" s="104">
        <f>X44*D15</f>
        <v>661.84663385810597</v>
      </c>
      <c r="G63" s="38"/>
      <c r="H63" s="11"/>
      <c r="I63" s="5" t="s">
        <v>20</v>
      </c>
      <c r="Y63" t="s">
        <v>36</v>
      </c>
      <c r="Z63" s="54">
        <f>X61*F15</f>
        <v>52909.176195362532</v>
      </c>
      <c r="AA63" s="59"/>
      <c r="AB63" s="59"/>
      <c r="AC63" s="59"/>
    </row>
    <row r="64" spans="2:29" ht="24.75" x14ac:dyDescent="0.25">
      <c r="B64" s="8"/>
      <c r="C64" s="15" t="s">
        <v>119</v>
      </c>
      <c r="D64" s="104">
        <f>X44*E15</f>
        <v>585.82641948875255</v>
      </c>
      <c r="G64" s="38"/>
      <c r="H64" s="11"/>
      <c r="I64" s="5" t="s">
        <v>20</v>
      </c>
      <c r="Z64" s="54"/>
      <c r="AA64" s="59"/>
      <c r="AB64" s="59"/>
      <c r="AC64" s="59"/>
    </row>
    <row r="65" spans="2:29" ht="24.75" x14ac:dyDescent="0.25">
      <c r="B65" s="8"/>
      <c r="C65" s="15" t="s">
        <v>120</v>
      </c>
      <c r="D65" s="104">
        <f>X44*F15</f>
        <v>746.1271810404013</v>
      </c>
      <c r="G65" s="38"/>
      <c r="H65" s="11"/>
      <c r="I65" s="5" t="s">
        <v>20</v>
      </c>
      <c r="L65" t="s">
        <v>121</v>
      </c>
      <c r="X65">
        <f>D88*C13</f>
        <v>518598</v>
      </c>
      <c r="Z65" s="54">
        <f>X65*D15</f>
        <v>138984.264</v>
      </c>
      <c r="AA65" s="59">
        <f>Z65*D87</f>
        <v>299039237.34372002</v>
      </c>
      <c r="AB65" s="59">
        <f>Z66*D87</f>
        <v>264691360.10938284</v>
      </c>
      <c r="AC65" s="59">
        <f>Z67*D87</f>
        <v>337119344.21891546</v>
      </c>
    </row>
    <row r="66" spans="2:29" ht="36.75" x14ac:dyDescent="0.25">
      <c r="B66" s="8"/>
      <c r="C66" s="15" t="s">
        <v>122</v>
      </c>
      <c r="D66" s="104"/>
      <c r="G66" t="s">
        <v>123</v>
      </c>
      <c r="H66" s="11"/>
      <c r="I66" s="5" t="s">
        <v>20</v>
      </c>
      <c r="Y66" t="s">
        <v>34</v>
      </c>
      <c r="Z66" s="54">
        <f>X65*E15</f>
        <v>123020.42433875309</v>
      </c>
      <c r="AA66" s="59"/>
      <c r="AB66" s="59"/>
      <c r="AC66" s="59"/>
    </row>
    <row r="67" spans="2:29" x14ac:dyDescent="0.25">
      <c r="B67" s="8"/>
      <c r="C67" s="15"/>
      <c r="G67" s="38"/>
      <c r="H67" s="11"/>
      <c r="I67" s="5" t="s">
        <v>20</v>
      </c>
      <c r="Y67" t="s">
        <v>36</v>
      </c>
      <c r="Z67" s="54">
        <f>X65*F15</f>
        <v>156682.72950607358</v>
      </c>
      <c r="AA67" s="59"/>
      <c r="AB67" s="59"/>
      <c r="AC67" s="59"/>
    </row>
    <row r="68" spans="2:29" x14ac:dyDescent="0.25">
      <c r="B68" s="52" t="s">
        <v>99</v>
      </c>
      <c r="C68" s="34"/>
      <c r="D68" s="34"/>
      <c r="E68" s="34"/>
      <c r="F68" s="34"/>
      <c r="G68" s="34"/>
      <c r="H68" s="42"/>
      <c r="I68" s="5" t="s">
        <v>20</v>
      </c>
      <c r="AA68" s="59"/>
      <c r="AB68" s="59"/>
      <c r="AC68" s="59"/>
    </row>
    <row r="69" spans="2:29" x14ac:dyDescent="0.25">
      <c r="B69" s="60" t="s">
        <v>124</v>
      </c>
      <c r="C69" s="150" t="s">
        <v>125</v>
      </c>
      <c r="D69">
        <f>31.8-24.4</f>
        <v>7.4000000000000021</v>
      </c>
      <c r="E69">
        <f>29-24.4</f>
        <v>4.6000000000000014</v>
      </c>
      <c r="F69">
        <f>40-24.4</f>
        <v>15.600000000000001</v>
      </c>
      <c r="G69" s="38" t="s">
        <v>126</v>
      </c>
      <c r="H69" s="163"/>
      <c r="I69" s="5" t="s">
        <v>20</v>
      </c>
      <c r="Z69" s="31" t="s">
        <v>127</v>
      </c>
      <c r="AA69" s="59">
        <f>SUM(AA8:AA65)</f>
        <v>2054924297.918231</v>
      </c>
      <c r="AB69" s="59">
        <f>SUM(AB8:AB65)</f>
        <v>1818859970.2976916</v>
      </c>
      <c r="AC69" s="59">
        <f>SUM(AC8:AC65)</f>
        <v>2316558716.7174578</v>
      </c>
    </row>
    <row r="70" spans="2:29" x14ac:dyDescent="0.25">
      <c r="B70" s="8"/>
      <c r="C70" s="150" t="s">
        <v>128</v>
      </c>
      <c r="D70">
        <v>0.45</v>
      </c>
      <c r="G70" s="38" t="s">
        <v>129</v>
      </c>
      <c r="H70" s="11"/>
      <c r="I70" s="97" t="s">
        <v>130</v>
      </c>
    </row>
    <row r="71" spans="2:29" x14ac:dyDescent="0.25">
      <c r="B71" s="8"/>
      <c r="C71" s="150" t="s">
        <v>90</v>
      </c>
      <c r="D71">
        <v>22.49</v>
      </c>
      <c r="E71">
        <v>12.32</v>
      </c>
      <c r="F71">
        <v>27.05</v>
      </c>
      <c r="G71" s="38" t="s">
        <v>91</v>
      </c>
      <c r="H71" s="11"/>
      <c r="I71" s="5" t="s">
        <v>20</v>
      </c>
    </row>
    <row r="72" spans="2:29" ht="24.75" x14ac:dyDescent="0.25">
      <c r="B72" s="8"/>
      <c r="C72" s="15" t="s">
        <v>131</v>
      </c>
      <c r="D72">
        <f>31.8-24.4</f>
        <v>7.4000000000000021</v>
      </c>
      <c r="E72">
        <f>29-24.4</f>
        <v>4.6000000000000014</v>
      </c>
      <c r="F72">
        <f>40-24.4</f>
        <v>15.600000000000001</v>
      </c>
      <c r="G72" s="38" t="s">
        <v>126</v>
      </c>
      <c r="H72" s="163"/>
      <c r="I72" s="5" t="s">
        <v>20</v>
      </c>
    </row>
    <row r="73" spans="2:29" x14ac:dyDescent="0.25">
      <c r="B73" s="8"/>
      <c r="C73" s="15" t="s">
        <v>132</v>
      </c>
      <c r="D73">
        <f>D72*52</f>
        <v>384.80000000000013</v>
      </c>
      <c r="E73">
        <f t="shared" ref="E73:F73" si="2">E72*52</f>
        <v>239.20000000000007</v>
      </c>
      <c r="F73">
        <f t="shared" si="2"/>
        <v>811.2</v>
      </c>
      <c r="G73" s="38"/>
      <c r="H73" s="11"/>
      <c r="I73" s="5" t="s">
        <v>20</v>
      </c>
    </row>
    <row r="74" spans="2:29" ht="24.75" x14ac:dyDescent="0.25">
      <c r="B74" s="8"/>
      <c r="C74" s="15" t="s">
        <v>133</v>
      </c>
      <c r="D74">
        <v>0.45</v>
      </c>
      <c r="G74" s="38" t="s">
        <v>129</v>
      </c>
      <c r="H74" s="11"/>
      <c r="I74" s="97" t="s">
        <v>130</v>
      </c>
    </row>
    <row r="75" spans="2:29" x14ac:dyDescent="0.25">
      <c r="B75" s="8"/>
      <c r="C75" s="15" t="s">
        <v>134</v>
      </c>
      <c r="D75">
        <v>850000</v>
      </c>
      <c r="G75" s="38" t="s">
        <v>135</v>
      </c>
      <c r="H75" s="11"/>
      <c r="I75" s="5" t="s">
        <v>20</v>
      </c>
    </row>
    <row r="76" spans="2:29" x14ac:dyDescent="0.25">
      <c r="B76" s="8"/>
      <c r="C76" s="15" t="s">
        <v>90</v>
      </c>
      <c r="D76">
        <v>22.49</v>
      </c>
      <c r="E76">
        <v>12.32</v>
      </c>
      <c r="F76">
        <v>27.05</v>
      </c>
      <c r="G76" s="38" t="s">
        <v>91</v>
      </c>
      <c r="H76" s="11"/>
      <c r="I76" s="5" t="s">
        <v>20</v>
      </c>
    </row>
    <row r="77" spans="2:29" x14ac:dyDescent="0.25">
      <c r="B77" s="8"/>
      <c r="C77" s="15" t="s">
        <v>136</v>
      </c>
      <c r="D77">
        <v>131895</v>
      </c>
      <c r="H77" s="11"/>
      <c r="I77" s="5" t="s">
        <v>20</v>
      </c>
    </row>
    <row r="78" spans="2:29" x14ac:dyDescent="0.25">
      <c r="B78" s="8"/>
      <c r="H78" s="11"/>
      <c r="I78" s="5" t="s">
        <v>20</v>
      </c>
    </row>
    <row r="79" spans="2:29" x14ac:dyDescent="0.25">
      <c r="B79" s="106" t="s">
        <v>137</v>
      </c>
      <c r="C79" s="150" t="s">
        <v>138</v>
      </c>
      <c r="D79" s="40">
        <f>D80*1.69*12</f>
        <v>358.95600000000002</v>
      </c>
      <c r="E79" s="40">
        <f t="shared" ref="E79:F79" si="3">E80*1.69*12</f>
        <v>167.10719999999998</v>
      </c>
      <c r="F79" s="40">
        <f t="shared" si="3"/>
        <v>191.84880000000001</v>
      </c>
      <c r="H79" s="11"/>
      <c r="I79" s="5" t="s">
        <v>20</v>
      </c>
    </row>
    <row r="80" spans="2:29" x14ac:dyDescent="0.25">
      <c r="B80" s="8"/>
      <c r="C80" s="152" t="s">
        <v>139</v>
      </c>
      <c r="D80">
        <f>SUM(E80+F80)</f>
        <v>17.700000000000003</v>
      </c>
      <c r="E80">
        <v>8.24</v>
      </c>
      <c r="F80">
        <v>9.4600000000000009</v>
      </c>
      <c r="G80" s="38" t="s">
        <v>140</v>
      </c>
      <c r="H80" s="11"/>
      <c r="I80" s="5" t="s">
        <v>20</v>
      </c>
      <c r="J80" s="80"/>
    </row>
    <row r="81" spans="2:12" x14ac:dyDescent="0.25">
      <c r="B81" s="8"/>
      <c r="C81" s="152"/>
      <c r="G81" s="38"/>
      <c r="H81" s="11"/>
    </row>
    <row r="82" spans="2:12" ht="28.5" customHeight="1" x14ac:dyDescent="0.25">
      <c r="B82" s="108" t="s">
        <v>141</v>
      </c>
      <c r="C82" s="153"/>
      <c r="D82" s="154"/>
      <c r="E82" s="154"/>
      <c r="F82" s="154"/>
      <c r="G82" s="139"/>
      <c r="H82" s="107"/>
    </row>
    <row r="83" spans="2:12" x14ac:dyDescent="0.25">
      <c r="B83" s="116" t="s">
        <v>142</v>
      </c>
      <c r="C83" s="117"/>
      <c r="D83" s="117"/>
      <c r="E83" s="117"/>
      <c r="F83" s="117"/>
      <c r="G83" s="117"/>
      <c r="H83" s="118"/>
      <c r="I83" s="5" t="s">
        <v>20</v>
      </c>
    </row>
    <row r="84" spans="2:12" ht="30" x14ac:dyDescent="0.25">
      <c r="B84" s="8"/>
      <c r="C84" s="6" t="s">
        <v>143</v>
      </c>
      <c r="D84" s="40">
        <v>1265.6500000000001</v>
      </c>
      <c r="H84" s="11"/>
      <c r="I84" s="5" t="s">
        <v>20</v>
      </c>
    </row>
    <row r="85" spans="2:12" x14ac:dyDescent="0.25">
      <c r="B85" s="8"/>
      <c r="C85" t="s">
        <v>144</v>
      </c>
      <c r="D85">
        <v>0.20699999999999999</v>
      </c>
      <c r="E85">
        <v>0.155</v>
      </c>
      <c r="F85">
        <v>0.27</v>
      </c>
      <c r="G85" s="38" t="s">
        <v>145</v>
      </c>
      <c r="H85" s="39"/>
      <c r="I85" s="5" t="s">
        <v>20</v>
      </c>
    </row>
    <row r="86" spans="2:12" x14ac:dyDescent="0.25">
      <c r="B86" s="8"/>
      <c r="G86" s="38"/>
      <c r="H86" s="39"/>
      <c r="I86" s="5" t="s">
        <v>20</v>
      </c>
    </row>
    <row r="87" spans="2:12" ht="30" x14ac:dyDescent="0.25">
      <c r="B87" s="8"/>
      <c r="C87" s="6" t="s">
        <v>146</v>
      </c>
      <c r="D87" s="22">
        <f>D84*1.7</f>
        <v>2151.605</v>
      </c>
      <c r="E87" s="22">
        <f>D84*1.1</f>
        <v>1392.2150000000001</v>
      </c>
      <c r="F87" s="22">
        <f>D84*2.1</f>
        <v>2657.8650000000002</v>
      </c>
      <c r="G87" s="38" t="s">
        <v>147</v>
      </c>
      <c r="H87" s="39"/>
      <c r="I87" s="97" t="s">
        <v>148</v>
      </c>
    </row>
    <row r="88" spans="2:12" ht="15.75" thickBot="1" x14ac:dyDescent="0.3">
      <c r="B88" s="20"/>
      <c r="C88" s="21" t="s">
        <v>149</v>
      </c>
      <c r="D88" s="21">
        <v>0.61299999999999999</v>
      </c>
      <c r="E88" s="21">
        <v>0.53700000000000003</v>
      </c>
      <c r="F88" s="21">
        <v>0.68300000000000005</v>
      </c>
      <c r="G88" s="140" t="s">
        <v>150</v>
      </c>
      <c r="H88" s="58"/>
      <c r="I88" s="5" t="s">
        <v>20</v>
      </c>
      <c r="K88" s="15"/>
      <c r="L88" s="13"/>
    </row>
    <row r="89" spans="2:12" x14ac:dyDescent="0.25">
      <c r="I89" s="5" t="s">
        <v>20</v>
      </c>
    </row>
    <row r="90" spans="2:12" x14ac:dyDescent="0.25">
      <c r="C90" t="s">
        <v>151</v>
      </c>
    </row>
  </sheetData>
  <mergeCells count="4">
    <mergeCell ref="B2:G3"/>
    <mergeCell ref="J2:AC3"/>
    <mergeCell ref="F18:G18"/>
    <mergeCell ref="M48:AC48"/>
  </mergeCells>
  <hyperlinks>
    <hyperlink ref="G21" r:id="rId1" xr:uid="{13A33B14-8B70-44D3-99A7-3B72AFCD0F05}"/>
    <hyperlink ref="G24" r:id="rId2" xr:uid="{1EB7BC95-090F-42E1-9C55-C9BC48EDD5CB}"/>
    <hyperlink ref="G20" r:id="rId3" xr:uid="{5024EFBB-3A11-4BA5-A48A-C1E2F8C9BBF4}"/>
    <hyperlink ref="G6" r:id="rId4" location="/ " xr:uid="{C394A2C3-4BD4-43D7-B1C4-1AD773B71AF3}"/>
    <hyperlink ref="G7" r:id="rId5" location="/ " xr:uid="{4D424CF6-D9E4-44E4-9627-A187BE1A2564}"/>
    <hyperlink ref="AE8" r:id="rId6" display="https://nicic.gov/state-statistics/2019/indiana-2019" xr:uid="{9EB3233A-814B-4CF1-B6D4-572E31DD409A}"/>
    <hyperlink ref="AE17" r:id="rId7" display="https://nicic.gov/state-statistics/2019/indiana-2019" xr:uid="{73DDF5CD-832F-41D4-9D15-CA1CAB227A57}"/>
    <hyperlink ref="AE22" r:id="rId8" xr:uid="{73D61755-B7A6-41D4-9F7E-DE6260E33459}"/>
    <hyperlink ref="G38" r:id="rId9" xr:uid="{DE3B2D1C-802C-46A1-A953-4BD32FBCA996}"/>
    <hyperlink ref="G19" r:id="rId10" xr:uid="{F21A8B86-D3A6-439D-BF05-F660312D7722}"/>
    <hyperlink ref="G23" r:id="rId11" xr:uid="{FB4931CB-653B-4E14-AB16-3FD429EECE2C}"/>
    <hyperlink ref="G10" r:id="rId12" location="/ " xr:uid="{2320A354-F6EB-4558-8EE7-6484DB016B64}"/>
    <hyperlink ref="G11" r:id="rId13" location="/ " xr:uid="{FFCC7507-6F89-41F1-B3E7-DBB3408A37BE}"/>
    <hyperlink ref="G55" r:id="rId14" xr:uid="{82F8DFB7-98D6-424A-8B77-0DB95406D0DC}"/>
    <hyperlink ref="G71" r:id="rId15" display="https://www.bls.gov/oes/2019/may/oes_in.htm" xr:uid="{C6AE2AD2-D9F8-4E3E-9AEB-CA1F6870BB9E}"/>
    <hyperlink ref="G70" r:id="rId16" display="https://www.caregiving.org/wp-content/uploads/2020/05/NAC_Mental_Illness_Study_2016_FINAL_WEB.pdf " xr:uid="{C64E57D6-7F26-41BF-BE66-286C58D06D51}"/>
    <hyperlink ref="G30" r:id="rId17" xr:uid="{C5FF8261-97C0-4C6B-8FAB-B0D002A76DDE}"/>
    <hyperlink ref="G47" r:id="rId18" display="https://www.bls.gov/oes/2019/may/oes_in.htm" xr:uid="{814A2E97-96CE-406A-AFF4-52593850CA68}"/>
    <hyperlink ref="G48" r:id="rId19" display="https://pubmed.ncbi.nlm.nih.gov/12813119/" xr:uid="{23435480-AA7F-4F7C-B9F0-CFF2B3C792DD}"/>
    <hyperlink ref="G51" r:id="rId20" xr:uid="{05583752-D2E9-471D-9A9F-A3376D8FA24D}"/>
    <hyperlink ref="G39" r:id="rId21" xr:uid="{35B78D36-C0D4-4782-A2F5-7BC491CFA4CD}"/>
    <hyperlink ref="G62" r:id="rId22" xr:uid="{21D9273F-95A8-46F5-9E39-4EA240E7140F}"/>
    <hyperlink ref="G60" r:id="rId23" xr:uid="{343D826E-A737-4324-AE93-311E250694A0}"/>
    <hyperlink ref="AE30" r:id="rId24" xr:uid="{6739A76F-0B73-4989-852B-CAE8FF752864}"/>
    <hyperlink ref="AE35" r:id="rId25" xr:uid="{2FC5E99B-5BFE-46C2-A1C3-5770EA7A2922}"/>
    <hyperlink ref="AE39" r:id="rId26" xr:uid="{7BAD4D5E-036B-42AF-A892-9116E86BED88}"/>
    <hyperlink ref="G76" r:id="rId27" display="https://www.bls.gov/oes/2019/may/oes_in.htm" xr:uid="{CCD0A89C-F401-4462-B29C-AABD581D5490}"/>
    <hyperlink ref="G75" r:id="rId28" xr:uid="{99955D9E-6849-4825-BED4-81FDB6F346EF}"/>
    <hyperlink ref="G37" r:id="rId29" location="/ " xr:uid="{C0220AFD-61C1-4EE4-9935-DD7B1C4E02C3}"/>
    <hyperlink ref="G61" r:id="rId30" xr:uid="{35BA7A18-8B55-40EF-89BC-8827833EC700}"/>
    <hyperlink ref="G80" r:id="rId31" xr:uid="{073B74A3-E592-4D1A-81F5-E0D6B3F8F4A6}"/>
    <hyperlink ref="G88" r:id="rId32" location="/survey/NSDUH-2018-2019-RD02YR?column=AMIYR_U&amp;control=STATE&amp;filter=STATE%3D18&amp;results_received=true&amp;row=PRVHLTIN&amp;run_chisq=false&amp;weight=DASWT_1 " xr:uid="{29C5109C-18DE-4433-95A6-EF8839F1CD46}"/>
    <hyperlink ref="G85" r:id="rId33" location="/survey/NSDUH-2018-2019-RD02YR?column=AMIYR_U&amp;control=STATE&amp;filter=STATE%3D18&amp;results_received=true&amp;row=CAIDCHIP&amp;run_chisq=false&amp;weight=DASWT_1 " xr:uid="{0113250B-D417-436B-8CF8-37C2D85512F7}"/>
    <hyperlink ref="G69" r:id="rId34" xr:uid="{E9F56704-1DC2-4663-9965-2BD0F349EC38}"/>
    <hyperlink ref="G72" r:id="rId35" xr:uid="{B735F45D-0124-41EA-B7EE-43DC282CF677}"/>
    <hyperlink ref="G74" r:id="rId36" display="https://www.caregiving.org/wp-content/uploads/2020/05/NAC_Mental_Illness_Study_2016_FINAL_WEB.pdf " xr:uid="{E2F1C4D0-E5D0-4EA8-B526-E3D18A57B8C9}"/>
    <hyperlink ref="G28" r:id="rId37" xr:uid="{F8CBF0B6-368E-4241-A098-D23858C46A80}"/>
    <hyperlink ref="G56" r:id="rId38" xr:uid="{E9C68A73-0FAA-4E9A-A76B-2E7BA4D3F8B4}"/>
    <hyperlink ref="G25" r:id="rId39" display="https://bjs.ojp.gov/content/pub/pdf/tssp18.pdf" xr:uid="{02703364-FEBE-4D52-95E9-24C6EF02858C}"/>
    <hyperlink ref="G32" r:id="rId40" location=":~:text=Chronic%20homelessness%20is%20used%20to,use%20disorder%2C%20or%20physical%20disability. " xr:uid="{F7067CAE-020F-4C0A-B7F8-AFEE59421577}"/>
    <hyperlink ref="G29" r:id="rId41" xr:uid="{66E289AB-8459-47CA-BE65-3AAD6013CE27}"/>
  </hyperlinks>
  <pageMargins left="0.7" right="0.7" top="0.75" bottom="0.75" header="0.3" footer="0.3"/>
  <pageSetup orientation="portrait" r:id="rId4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17D84-ED75-443E-87D2-FAAA7F546771}">
  <dimension ref="B1:AB87"/>
  <sheetViews>
    <sheetView zoomScale="60" zoomScaleNormal="60" workbookViewId="0">
      <selection activeCell="H1" sqref="H1:H1048576"/>
    </sheetView>
  </sheetViews>
  <sheetFormatPr defaultRowHeight="15" x14ac:dyDescent="0.25"/>
  <cols>
    <col min="2" max="2" width="28.85546875" customWidth="1"/>
    <col min="3" max="3" width="36.28515625" customWidth="1"/>
    <col min="4" max="4" width="15.85546875" customWidth="1"/>
    <col min="7" max="8" width="25.140625" customWidth="1"/>
    <col min="10" max="10" width="19" customWidth="1"/>
    <col min="11" max="11" width="32.7109375" bestFit="1" customWidth="1"/>
    <col min="12" max="12" width="21.85546875" bestFit="1" customWidth="1"/>
    <col min="13" max="13" width="16.42578125" customWidth="1"/>
    <col min="14" max="14" width="13" customWidth="1"/>
    <col min="15" max="15" width="11.85546875" customWidth="1"/>
    <col min="16" max="16" width="12.5703125" customWidth="1"/>
    <col min="18" max="18" width="12.7109375" customWidth="1"/>
    <col min="19" max="20" width="10.85546875" customWidth="1"/>
    <col min="24" max="24" width="13.85546875" customWidth="1"/>
    <col min="26" max="26" width="26.140625" customWidth="1"/>
    <col min="27" max="27" width="24.140625" customWidth="1"/>
    <col min="28" max="28" width="16.85546875" customWidth="1"/>
  </cols>
  <sheetData>
    <row r="1" spans="2:28" ht="15.75" thickBot="1" x14ac:dyDescent="0.3"/>
    <row r="2" spans="2:28" ht="15" customHeight="1" x14ac:dyDescent="0.25">
      <c r="B2" s="188" t="s">
        <v>0</v>
      </c>
      <c r="C2" s="189"/>
      <c r="D2" s="189"/>
      <c r="E2" s="189"/>
      <c r="F2" s="189"/>
      <c r="G2" s="189"/>
      <c r="H2" s="141"/>
      <c r="J2" s="191" t="s">
        <v>1</v>
      </c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</row>
    <row r="3" spans="2:28" ht="14.45" customHeight="1" x14ac:dyDescent="0.25">
      <c r="B3" s="190"/>
      <c r="C3" s="191"/>
      <c r="D3" s="191"/>
      <c r="E3" s="191"/>
      <c r="F3" s="191"/>
      <c r="G3" s="191"/>
      <c r="H3" s="142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</row>
    <row r="4" spans="2:28" x14ac:dyDescent="0.25">
      <c r="B4" s="8"/>
      <c r="C4" s="145" t="s">
        <v>2</v>
      </c>
      <c r="D4" s="145" t="s">
        <v>3</v>
      </c>
      <c r="E4" s="145" t="s">
        <v>4</v>
      </c>
      <c r="F4" s="145" t="s">
        <v>5</v>
      </c>
      <c r="G4" s="145" t="s">
        <v>212</v>
      </c>
      <c r="H4" s="9"/>
    </row>
    <row r="5" spans="2:28" ht="42" customHeight="1" x14ac:dyDescent="0.25">
      <c r="B5" s="10" t="s">
        <v>213</v>
      </c>
      <c r="C5">
        <v>1150105</v>
      </c>
      <c r="G5" s="38" t="s">
        <v>214</v>
      </c>
      <c r="H5" s="39"/>
      <c r="I5" s="5" t="s">
        <v>20</v>
      </c>
      <c r="J5" s="23" t="s">
        <v>29</v>
      </c>
      <c r="K5" s="23"/>
      <c r="L5" s="23"/>
      <c r="M5" s="23"/>
      <c r="N5" s="23" t="s">
        <v>8</v>
      </c>
      <c r="O5" s="23" t="s">
        <v>8</v>
      </c>
      <c r="P5" s="23" t="s">
        <v>9</v>
      </c>
      <c r="Q5" s="23"/>
      <c r="R5" s="23" t="s">
        <v>10</v>
      </c>
      <c r="S5" s="23" t="s">
        <v>10</v>
      </c>
      <c r="T5" s="23" t="s">
        <v>11</v>
      </c>
      <c r="U5" s="23"/>
      <c r="V5" s="23" t="s">
        <v>12</v>
      </c>
      <c r="W5" s="23"/>
      <c r="X5" s="23" t="s">
        <v>13</v>
      </c>
      <c r="Y5" s="23"/>
      <c r="Z5" s="23" t="s">
        <v>14</v>
      </c>
      <c r="AA5" s="23" t="s">
        <v>15</v>
      </c>
      <c r="AB5" s="23" t="s">
        <v>6</v>
      </c>
    </row>
    <row r="6" spans="2:28" ht="36" customHeight="1" x14ac:dyDescent="0.25">
      <c r="B6" s="10" t="s">
        <v>215</v>
      </c>
      <c r="C6" s="53">
        <f>C5*D6</f>
        <v>852227.80499999993</v>
      </c>
      <c r="D6">
        <v>0.74099999999999999</v>
      </c>
      <c r="E6">
        <v>0.70499999999999996</v>
      </c>
      <c r="F6">
        <v>0.77400000000000002</v>
      </c>
      <c r="G6" s="138" t="s">
        <v>216</v>
      </c>
      <c r="H6" s="12"/>
      <c r="I6" s="5" t="s">
        <v>20</v>
      </c>
      <c r="J6" s="6"/>
      <c r="K6" s="6"/>
      <c r="L6" s="6"/>
      <c r="M6" s="6" t="s">
        <v>21</v>
      </c>
      <c r="N6" s="7" t="s">
        <v>22</v>
      </c>
      <c r="O6" s="7" t="s">
        <v>23</v>
      </c>
      <c r="P6" s="7" t="s">
        <v>24</v>
      </c>
      <c r="Q6" s="7"/>
      <c r="R6" s="7" t="s">
        <v>25</v>
      </c>
      <c r="S6" s="7" t="s">
        <v>26</v>
      </c>
      <c r="T6" s="7" t="s">
        <v>27</v>
      </c>
      <c r="U6" s="6"/>
      <c r="V6" s="6"/>
      <c r="W6" s="6"/>
      <c r="X6" s="6"/>
      <c r="Y6" s="6"/>
      <c r="Z6" s="6"/>
      <c r="AA6" s="6"/>
    </row>
    <row r="7" spans="2:28" ht="15" customHeight="1" x14ac:dyDescent="0.25">
      <c r="B7" s="10" t="s">
        <v>217</v>
      </c>
      <c r="C7" s="2">
        <f>C5*D7</f>
        <v>297877.19500000001</v>
      </c>
      <c r="D7">
        <v>0.25900000000000001</v>
      </c>
      <c r="E7">
        <v>0.22600000000000001</v>
      </c>
      <c r="F7">
        <v>0.29499999999999998</v>
      </c>
      <c r="G7" s="138" t="s">
        <v>216</v>
      </c>
      <c r="H7" s="12"/>
      <c r="I7" s="5" t="s">
        <v>20</v>
      </c>
      <c r="K7" s="43" t="s">
        <v>30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2:28" x14ac:dyDescent="0.25">
      <c r="B8" s="10" t="s">
        <v>39</v>
      </c>
      <c r="D8" s="146">
        <v>4.1000000000000002E-2</v>
      </c>
      <c r="E8" s="146">
        <v>2.3E-2</v>
      </c>
      <c r="F8" s="146">
        <v>7.0999999999999994E-2</v>
      </c>
      <c r="G8" s="38" t="s">
        <v>218</v>
      </c>
      <c r="H8" s="39"/>
      <c r="I8" s="5" t="s">
        <v>219</v>
      </c>
      <c r="L8" t="s">
        <v>220</v>
      </c>
      <c r="M8">
        <v>388</v>
      </c>
      <c r="N8" s="53">
        <f>((1-F12)*M8)</f>
        <v>108.64000000000001</v>
      </c>
      <c r="O8" s="53">
        <f>C6</f>
        <v>852227.80499999993</v>
      </c>
      <c r="P8">
        <f>N8/O8</f>
        <v>1.2747765252742489E-4</v>
      </c>
      <c r="R8" s="53">
        <f>F12*M8</f>
        <v>279.36</v>
      </c>
      <c r="S8" s="2">
        <f>C7</f>
        <v>297877.19500000001</v>
      </c>
      <c r="T8">
        <f>R8/S8</f>
        <v>9.3783614418686866E-4</v>
      </c>
      <c r="V8">
        <f>T8-P8</f>
        <v>8.103584916594438E-4</v>
      </c>
      <c r="X8" s="54">
        <f>V8*S8</f>
        <v>241.38731443994601</v>
      </c>
      <c r="Z8" s="54">
        <f>X8*F9</f>
        <v>58.096607882156491</v>
      </c>
      <c r="AA8" s="59">
        <f>Z8*D13*F14</f>
        <v>4045789.6763054961</v>
      </c>
      <c r="AB8" s="27" t="s">
        <v>221</v>
      </c>
    </row>
    <row r="9" spans="2:28" x14ac:dyDescent="0.25">
      <c r="B9" s="10"/>
      <c r="D9" s="56">
        <f>D8/D7</f>
        <v>0.15830115830115829</v>
      </c>
      <c r="E9" s="13">
        <f>E8/E7</f>
        <v>0.10176991150442477</v>
      </c>
      <c r="F9" s="13">
        <f>F8/F7</f>
        <v>0.2406779661016949</v>
      </c>
      <c r="G9" s="38"/>
      <c r="H9" s="39"/>
      <c r="I9" s="97"/>
      <c r="N9" s="53"/>
      <c r="R9" s="53"/>
      <c r="X9" s="54"/>
      <c r="Z9" s="54"/>
      <c r="AA9" s="59"/>
      <c r="AB9" s="27"/>
    </row>
    <row r="10" spans="2:28" x14ac:dyDescent="0.25">
      <c r="B10" s="26" t="s">
        <v>29</v>
      </c>
      <c r="C10" s="24"/>
      <c r="D10" s="24"/>
      <c r="E10" s="24"/>
      <c r="F10" s="24"/>
      <c r="G10" s="24"/>
      <c r="H10" s="25"/>
      <c r="I10" s="5" t="s">
        <v>20</v>
      </c>
      <c r="N10" s="53"/>
      <c r="R10" s="53"/>
      <c r="X10" s="54"/>
      <c r="Z10" s="54"/>
      <c r="AA10" s="59"/>
      <c r="AB10" s="27"/>
    </row>
    <row r="11" spans="2:28" x14ac:dyDescent="0.25">
      <c r="B11" s="48" t="s">
        <v>43</v>
      </c>
      <c r="C11" s="3"/>
      <c r="D11" s="3"/>
      <c r="E11" s="3"/>
      <c r="F11" s="192"/>
      <c r="G11" s="192"/>
      <c r="H11" s="143"/>
      <c r="I11" s="5" t="s">
        <v>20</v>
      </c>
      <c r="N11" s="53"/>
      <c r="R11" s="53"/>
      <c r="X11" s="54"/>
      <c r="Z11" s="54"/>
      <c r="AA11" s="59"/>
      <c r="AB11" s="27"/>
    </row>
    <row r="12" spans="2:28" x14ac:dyDescent="0.25">
      <c r="B12" s="14" t="s">
        <v>223</v>
      </c>
      <c r="C12" s="15" t="s">
        <v>46</v>
      </c>
      <c r="D12" s="13">
        <v>0.7</v>
      </c>
      <c r="E12">
        <v>0.63</v>
      </c>
      <c r="F12">
        <v>0.72</v>
      </c>
      <c r="G12" s="138" t="s">
        <v>224</v>
      </c>
      <c r="H12" s="11"/>
      <c r="I12" s="5" t="s">
        <v>20</v>
      </c>
      <c r="J12" s="198" t="s">
        <v>65</v>
      </c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8"/>
      <c r="X12" s="198"/>
      <c r="Y12" s="198"/>
      <c r="Z12" s="198"/>
      <c r="AA12" s="198"/>
      <c r="AB12" s="27"/>
    </row>
    <row r="13" spans="2:28" x14ac:dyDescent="0.25">
      <c r="B13" s="8"/>
      <c r="C13" s="147" t="s">
        <v>225</v>
      </c>
      <c r="D13" s="16">
        <v>232.13</v>
      </c>
      <c r="G13" s="138" t="s">
        <v>226</v>
      </c>
      <c r="H13" s="11"/>
      <c r="I13" s="5" t="s">
        <v>20</v>
      </c>
      <c r="K13" s="195" t="s">
        <v>227</v>
      </c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27"/>
    </row>
    <row r="14" spans="2:28" ht="24.75" x14ac:dyDescent="0.25">
      <c r="B14" s="8"/>
      <c r="C14" s="15" t="s">
        <v>228</v>
      </c>
      <c r="D14">
        <f>8*30</f>
        <v>240</v>
      </c>
      <c r="E14">
        <f>6*30</f>
        <v>180</v>
      </c>
      <c r="F14">
        <f>10*30</f>
        <v>300</v>
      </c>
      <c r="G14" s="38" t="s">
        <v>229</v>
      </c>
      <c r="H14" s="11"/>
      <c r="I14" s="5" t="s">
        <v>20</v>
      </c>
      <c r="L14" t="s">
        <v>230</v>
      </c>
      <c r="N14" s="53"/>
      <c r="R14" s="53"/>
      <c r="S14" s="2"/>
      <c r="X14" s="54">
        <f>C7*F8</f>
        <v>21149.280844999997</v>
      </c>
      <c r="Z14" s="54">
        <f>X14*F9</f>
        <v>5090.1658982881345</v>
      </c>
      <c r="AA14" s="72">
        <f>Z14*D19*F20</f>
        <v>2365866.3521307791</v>
      </c>
    </row>
    <row r="15" spans="2:28" x14ac:dyDescent="0.25">
      <c r="B15" s="8"/>
      <c r="C15" s="15"/>
      <c r="H15" s="11"/>
      <c r="I15" s="5" t="s">
        <v>20</v>
      </c>
      <c r="N15" s="53"/>
      <c r="R15" s="53"/>
      <c r="X15" s="54"/>
      <c r="Z15" s="54"/>
      <c r="AA15" s="72"/>
    </row>
    <row r="16" spans="2:28" x14ac:dyDescent="0.25">
      <c r="B16" s="98" t="s">
        <v>227</v>
      </c>
      <c r="C16" s="159"/>
      <c r="D16" s="155"/>
      <c r="E16" s="155"/>
      <c r="F16" s="155"/>
      <c r="G16" s="155"/>
      <c r="H16" s="167"/>
      <c r="I16" s="5" t="s">
        <v>20</v>
      </c>
      <c r="N16" s="53"/>
      <c r="R16" s="53"/>
      <c r="X16" s="54"/>
      <c r="Z16" s="54"/>
      <c r="AA16" s="72"/>
    </row>
    <row r="17" spans="2:28" ht="24.75" x14ac:dyDescent="0.25">
      <c r="B17" s="8"/>
      <c r="C17" s="15" t="s">
        <v>231</v>
      </c>
      <c r="D17">
        <v>180</v>
      </c>
      <c r="G17" s="38" t="s">
        <v>232</v>
      </c>
      <c r="H17" s="11"/>
      <c r="I17" s="5" t="s">
        <v>20</v>
      </c>
      <c r="N17" s="53"/>
      <c r="R17" s="53"/>
      <c r="X17" s="54"/>
      <c r="Z17" s="54"/>
      <c r="AA17" s="72"/>
      <c r="AB17" s="27"/>
    </row>
    <row r="18" spans="2:28" x14ac:dyDescent="0.25">
      <c r="B18" s="8"/>
      <c r="C18" s="15" t="s">
        <v>233</v>
      </c>
      <c r="D18">
        <v>9193.68</v>
      </c>
      <c r="G18" s="38" t="s">
        <v>234</v>
      </c>
      <c r="H18" s="11"/>
      <c r="I18" s="5" t="s">
        <v>20</v>
      </c>
      <c r="K18" s="197" t="s">
        <v>87</v>
      </c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</row>
    <row r="19" spans="2:28" x14ac:dyDescent="0.25">
      <c r="B19" s="8"/>
      <c r="C19" s="15" t="s">
        <v>235</v>
      </c>
      <c r="D19" s="40">
        <f>D18/D17</f>
        <v>51.076000000000001</v>
      </c>
      <c r="G19" s="38" t="s">
        <v>236</v>
      </c>
      <c r="H19" s="11"/>
      <c r="I19" s="5" t="s">
        <v>20</v>
      </c>
      <c r="K19" s="100"/>
      <c r="L19" s="87" t="s">
        <v>89</v>
      </c>
      <c r="M19">
        <v>186</v>
      </c>
      <c r="N19" s="54">
        <f>M19-R19</f>
        <v>79.053719999999984</v>
      </c>
      <c r="O19" s="53">
        <f>C6</f>
        <v>852227.80499999993</v>
      </c>
      <c r="P19">
        <f>N19/O19</f>
        <v>9.2761254134391904E-5</v>
      </c>
      <c r="Q19" s="100"/>
      <c r="R19" s="54">
        <f>S19*D27</f>
        <v>106.94628000000002</v>
      </c>
      <c r="S19" s="2">
        <f>C7</f>
        <v>297877.19500000001</v>
      </c>
      <c r="T19" s="102">
        <f>R19/S19</f>
        <v>3.590280887397238E-4</v>
      </c>
      <c r="U19" s="100"/>
      <c r="V19">
        <f>T19-P19</f>
        <v>2.6626683460533192E-4</v>
      </c>
      <c r="W19" s="102"/>
      <c r="X19" s="54">
        <f>S19*V19</f>
        <v>79.314817813765202</v>
      </c>
      <c r="Y19" s="100"/>
      <c r="Z19" s="13">
        <f>X19*F9*D28</f>
        <v>897.19846455774393</v>
      </c>
      <c r="AA19" s="105">
        <f>Z19*F29</f>
        <v>50467413.631373093</v>
      </c>
    </row>
    <row r="20" spans="2:28" ht="24.6" customHeight="1" x14ac:dyDescent="0.25">
      <c r="B20" s="8"/>
      <c r="C20" s="15" t="s">
        <v>237</v>
      </c>
      <c r="D20">
        <f>17.3-9.6</f>
        <v>7.7000000000000011</v>
      </c>
      <c r="E20">
        <f>15.4-9.1</f>
        <v>6.3000000000000007</v>
      </c>
      <c r="F20">
        <f>19.2-10.1</f>
        <v>9.1</v>
      </c>
      <c r="G20" s="38" t="s">
        <v>238</v>
      </c>
      <c r="H20" s="11"/>
      <c r="I20" s="5" t="s">
        <v>20</v>
      </c>
      <c r="K20" s="100"/>
      <c r="L20" s="87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2"/>
      <c r="Z20" s="13"/>
      <c r="AA20" s="100"/>
    </row>
    <row r="21" spans="2:28" ht="15" customHeight="1" x14ac:dyDescent="0.25">
      <c r="B21" s="63"/>
      <c r="C21" s="160"/>
      <c r="H21" s="11"/>
      <c r="I21" s="5" t="s">
        <v>20</v>
      </c>
      <c r="K21" s="100"/>
      <c r="L21" s="87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2"/>
      <c r="Z21" s="13"/>
      <c r="AA21" s="100"/>
    </row>
    <row r="22" spans="2:28" ht="15.95" customHeight="1" x14ac:dyDescent="0.25">
      <c r="B22" s="8"/>
      <c r="C22" s="15"/>
      <c r="G22" s="156"/>
      <c r="H22" s="11"/>
      <c r="I22" s="5" t="s">
        <v>20</v>
      </c>
      <c r="J22" s="33"/>
      <c r="K22" s="100"/>
      <c r="L22" s="87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2"/>
      <c r="Z22" s="13"/>
      <c r="AA22" s="100"/>
    </row>
    <row r="23" spans="2:28" x14ac:dyDescent="0.25">
      <c r="B23" s="51" t="s">
        <v>87</v>
      </c>
      <c r="C23" s="32"/>
      <c r="D23" s="32"/>
      <c r="E23" s="32"/>
      <c r="F23" s="32"/>
      <c r="G23" s="32"/>
      <c r="H23" s="41"/>
      <c r="I23" s="5" t="s">
        <v>20</v>
      </c>
      <c r="L23" s="87" t="s">
        <v>95</v>
      </c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>
        <f>D24</f>
        <v>32</v>
      </c>
      <c r="Y23" s="102"/>
      <c r="Z23" s="13">
        <f>(1.15/2)*X23*D28</f>
        <v>864.8</v>
      </c>
      <c r="AA23" s="72">
        <f>Z23*F29</f>
        <v>48645000</v>
      </c>
    </row>
    <row r="24" spans="2:28" ht="17.45" customHeight="1" x14ac:dyDescent="0.25">
      <c r="B24" s="8"/>
      <c r="C24" s="15" t="s">
        <v>239</v>
      </c>
      <c r="D24">
        <v>32</v>
      </c>
      <c r="G24" s="38" t="s">
        <v>104</v>
      </c>
      <c r="H24" s="163"/>
      <c r="I24" s="5" t="s">
        <v>20</v>
      </c>
      <c r="L24" s="87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2"/>
      <c r="Z24" s="13"/>
      <c r="AA24" s="100"/>
    </row>
    <row r="25" spans="2:28" x14ac:dyDescent="0.25">
      <c r="B25" s="8"/>
      <c r="C25" s="15" t="s">
        <v>240</v>
      </c>
      <c r="D25">
        <v>186</v>
      </c>
      <c r="G25" s="38" t="s">
        <v>104</v>
      </c>
      <c r="H25" s="39"/>
      <c r="I25" s="5" t="s">
        <v>20</v>
      </c>
      <c r="L25" s="87"/>
      <c r="N25" s="53"/>
      <c r="R25" s="53"/>
      <c r="X25" s="54"/>
      <c r="Y25" s="102"/>
      <c r="Z25" s="13"/>
      <c r="AA25" s="72"/>
      <c r="AB25" s="27"/>
    </row>
    <row r="26" spans="2:28" ht="22.5" customHeight="1" x14ac:dyDescent="0.25">
      <c r="B26" s="8"/>
      <c r="C26" s="15" t="s">
        <v>241</v>
      </c>
      <c r="D26" s="151">
        <f>D25/C5</f>
        <v>1.6172436429717286E-4</v>
      </c>
      <c r="G26" s="38"/>
      <c r="H26" s="39"/>
      <c r="I26" s="5" t="s">
        <v>20</v>
      </c>
      <c r="L26" s="87"/>
      <c r="N26" s="53"/>
      <c r="R26" s="53"/>
      <c r="X26" s="54"/>
      <c r="Y26" s="102"/>
      <c r="Z26" s="13"/>
      <c r="AA26" s="72"/>
      <c r="AB26" s="27"/>
    </row>
    <row r="27" spans="2:28" ht="30" x14ac:dyDescent="0.25">
      <c r="B27" s="8"/>
      <c r="C27" s="15" t="s">
        <v>242</v>
      </c>
      <c r="D27" s="103">
        <f>D26*2.22</f>
        <v>3.590280887397238E-4</v>
      </c>
      <c r="G27" s="38"/>
      <c r="H27" s="39"/>
      <c r="I27" s="5" t="s">
        <v>20</v>
      </c>
      <c r="J27" s="23" t="s">
        <v>111</v>
      </c>
      <c r="K27" s="28"/>
      <c r="L27" s="119"/>
      <c r="M27" s="24"/>
      <c r="N27" s="120"/>
      <c r="O27" s="24"/>
      <c r="P27" s="24"/>
      <c r="Q27" s="24"/>
      <c r="R27" s="120"/>
      <c r="S27" s="24"/>
      <c r="T27" s="24"/>
      <c r="U27" s="24"/>
      <c r="V27" s="24"/>
      <c r="W27" s="24"/>
      <c r="X27" s="121"/>
      <c r="Y27" s="122"/>
      <c r="Z27" s="123"/>
      <c r="AA27" s="124"/>
    </row>
    <row r="28" spans="2:28" ht="24.6" customHeight="1" x14ac:dyDescent="0.25">
      <c r="B28" s="8"/>
      <c r="C28" s="15" t="s">
        <v>243</v>
      </c>
      <c r="D28" s="53">
        <v>47</v>
      </c>
      <c r="G28" s="38"/>
      <c r="H28" s="163"/>
      <c r="I28" s="5" t="s">
        <v>20</v>
      </c>
      <c r="J28" s="109"/>
      <c r="K28" s="111" t="s">
        <v>114</v>
      </c>
      <c r="L28" s="125"/>
      <c r="M28" s="117"/>
      <c r="N28" s="126"/>
      <c r="O28" s="117"/>
      <c r="P28" s="117"/>
      <c r="Q28" s="117"/>
      <c r="R28" s="126"/>
      <c r="S28" s="117"/>
      <c r="T28" s="117"/>
      <c r="U28" s="117"/>
      <c r="V28" s="117"/>
      <c r="W28" s="117"/>
      <c r="X28" s="127"/>
      <c r="Y28" s="128"/>
      <c r="Z28" s="129"/>
      <c r="AA28" s="130"/>
    </row>
    <row r="29" spans="2:28" ht="24.75" x14ac:dyDescent="0.25">
      <c r="B29" s="8"/>
      <c r="C29" s="15" t="s">
        <v>78</v>
      </c>
      <c r="D29" s="40">
        <v>46770</v>
      </c>
      <c r="E29">
        <v>25620</v>
      </c>
      <c r="F29">
        <v>56250</v>
      </c>
      <c r="G29" s="38" t="s">
        <v>79</v>
      </c>
      <c r="H29" s="11"/>
      <c r="I29" s="5" t="s">
        <v>20</v>
      </c>
      <c r="L29" t="s">
        <v>117</v>
      </c>
      <c r="N29" s="53"/>
      <c r="R29" s="53"/>
      <c r="X29" s="54">
        <f>C7*F34</f>
        <v>153704.63262000002</v>
      </c>
      <c r="Y29" s="102"/>
      <c r="Z29" s="13">
        <f>X29*F9</f>
        <v>36993.318359389828</v>
      </c>
      <c r="AA29" s="72">
        <f>Z29*D33</f>
        <v>46820593.381561741</v>
      </c>
    </row>
    <row r="30" spans="2:28" x14ac:dyDescent="0.25">
      <c r="B30" s="61"/>
      <c r="C30" s="15"/>
      <c r="D30" s="2"/>
      <c r="G30" s="157"/>
      <c r="H30" s="131"/>
      <c r="I30" s="5" t="s">
        <v>20</v>
      </c>
      <c r="N30" s="53"/>
      <c r="R30" s="53"/>
      <c r="X30" s="54"/>
      <c r="Y30" s="102"/>
      <c r="Z30" s="13"/>
      <c r="AA30" s="72"/>
    </row>
    <row r="31" spans="2:28" ht="28.5" customHeight="1" x14ac:dyDescent="0.25">
      <c r="B31" s="26" t="s">
        <v>111</v>
      </c>
      <c r="C31" s="158"/>
      <c r="D31" s="158"/>
      <c r="E31" s="158"/>
      <c r="F31" s="158"/>
      <c r="G31" s="158"/>
      <c r="H31" s="132"/>
      <c r="I31" s="5" t="s">
        <v>20</v>
      </c>
      <c r="N31" s="53"/>
      <c r="R31" s="53"/>
      <c r="X31" s="54"/>
      <c r="Y31" s="102"/>
      <c r="Z31" s="13"/>
      <c r="AA31" s="72"/>
    </row>
    <row r="32" spans="2:28" x14ac:dyDescent="0.25">
      <c r="B32" s="133" t="s">
        <v>114</v>
      </c>
      <c r="C32" s="117"/>
      <c r="D32" s="117"/>
      <c r="E32" s="117"/>
      <c r="F32" s="117"/>
      <c r="G32" s="117"/>
      <c r="H32" s="118"/>
      <c r="I32" s="5" t="s">
        <v>20</v>
      </c>
      <c r="N32" s="53"/>
      <c r="R32" s="53"/>
      <c r="X32" s="54"/>
      <c r="Y32" s="102"/>
      <c r="Z32" s="13"/>
      <c r="AA32" s="72"/>
    </row>
    <row r="33" spans="2:27" ht="30" x14ac:dyDescent="0.25">
      <c r="B33" s="8"/>
      <c r="C33" s="6" t="s">
        <v>143</v>
      </c>
      <c r="D33" s="40">
        <v>1265.6500000000001</v>
      </c>
      <c r="H33" s="11"/>
      <c r="I33" s="5" t="s">
        <v>20</v>
      </c>
      <c r="L33" t="s">
        <v>121</v>
      </c>
      <c r="N33" s="53"/>
      <c r="R33" s="53"/>
      <c r="X33" s="54">
        <f>C7*F37</f>
        <v>148044.96591500001</v>
      </c>
      <c r="Y33" s="102"/>
      <c r="Z33" s="13">
        <f>X33*F9</f>
        <v>35631.161288016949</v>
      </c>
      <c r="AA33" s="72">
        <f>Z33*D36</f>
        <v>76664184.783103704</v>
      </c>
    </row>
    <row r="34" spans="2:27" x14ac:dyDescent="0.25">
      <c r="B34" s="8"/>
      <c r="C34" t="s">
        <v>244</v>
      </c>
      <c r="D34">
        <v>0.436</v>
      </c>
      <c r="E34">
        <v>0.35799999999999998</v>
      </c>
      <c r="F34">
        <v>0.51600000000000001</v>
      </c>
      <c r="G34" s="38" t="s">
        <v>245</v>
      </c>
      <c r="H34" s="163"/>
      <c r="I34" s="5" t="s">
        <v>20</v>
      </c>
      <c r="N34" s="53"/>
      <c r="R34" s="53"/>
      <c r="X34" s="54"/>
      <c r="Y34" s="102"/>
      <c r="Z34" s="13"/>
      <c r="AA34" s="72"/>
    </row>
    <row r="35" spans="2:27" x14ac:dyDescent="0.25">
      <c r="B35" s="8"/>
      <c r="G35" s="38"/>
      <c r="H35" s="39"/>
      <c r="I35" s="5" t="s">
        <v>20</v>
      </c>
      <c r="N35" s="53"/>
      <c r="R35" s="53"/>
      <c r="X35" s="54"/>
      <c r="Y35" s="102"/>
      <c r="Z35" s="13"/>
      <c r="AA35" s="72"/>
    </row>
    <row r="36" spans="2:27" ht="30" x14ac:dyDescent="0.25">
      <c r="B36" s="8"/>
      <c r="C36" s="6" t="s">
        <v>146</v>
      </c>
      <c r="D36" s="22">
        <f>D33*1.7</f>
        <v>2151.605</v>
      </c>
      <c r="G36" s="38" t="s">
        <v>147</v>
      </c>
      <c r="H36" s="163"/>
      <c r="I36" s="5" t="s">
        <v>20</v>
      </c>
      <c r="N36" s="53"/>
      <c r="R36" s="53"/>
      <c r="X36" s="54"/>
      <c r="Y36" s="102"/>
      <c r="Z36" s="13"/>
      <c r="AA36" s="72"/>
    </row>
    <row r="37" spans="2:27" ht="15.75" thickBot="1" x14ac:dyDescent="0.3">
      <c r="B37" s="20"/>
      <c r="C37" s="21" t="s">
        <v>246</v>
      </c>
      <c r="D37" s="21">
        <v>0.42199999999999999</v>
      </c>
      <c r="E37" s="21">
        <v>0.35</v>
      </c>
      <c r="F37" s="21">
        <v>0.497</v>
      </c>
      <c r="G37" s="140" t="s">
        <v>245</v>
      </c>
      <c r="H37" s="166"/>
      <c r="I37" s="5" t="s">
        <v>20</v>
      </c>
      <c r="N37" s="53"/>
      <c r="R37" s="53"/>
      <c r="X37" s="54"/>
      <c r="Y37" s="102"/>
      <c r="Z37" s="13"/>
      <c r="AA37" s="72"/>
    </row>
    <row r="38" spans="2:27" x14ac:dyDescent="0.25">
      <c r="B38" s="194"/>
      <c r="C38" s="194"/>
      <c r="D38" s="194"/>
      <c r="E38" s="194"/>
      <c r="F38" s="194"/>
      <c r="G38" s="194"/>
      <c r="H38" s="144"/>
      <c r="I38" s="5" t="s">
        <v>20</v>
      </c>
      <c r="AA38" s="72"/>
    </row>
    <row r="39" spans="2:27" x14ac:dyDescent="0.25">
      <c r="I39" s="5" t="s">
        <v>20</v>
      </c>
      <c r="Z39" s="101" t="s">
        <v>127</v>
      </c>
      <c r="AA39" s="59">
        <f>SUM(AA8:AA33)</f>
        <v>229008847.82447481</v>
      </c>
    </row>
    <row r="40" spans="2:27" x14ac:dyDescent="0.25">
      <c r="I40" s="5" t="s">
        <v>20</v>
      </c>
    </row>
    <row r="41" spans="2:27" x14ac:dyDescent="0.25">
      <c r="I41" s="5" t="s">
        <v>20</v>
      </c>
    </row>
    <row r="42" spans="2:27" x14ac:dyDescent="0.25">
      <c r="I42" s="5" t="s">
        <v>20</v>
      </c>
      <c r="M42" s="27"/>
    </row>
    <row r="43" spans="2:27" x14ac:dyDescent="0.25">
      <c r="I43" s="5" t="s">
        <v>20</v>
      </c>
    </row>
    <row r="44" spans="2:27" x14ac:dyDescent="0.25">
      <c r="I44" s="5" t="s">
        <v>20</v>
      </c>
      <c r="M44" s="99"/>
    </row>
    <row r="45" spans="2:27" x14ac:dyDescent="0.25">
      <c r="I45" s="5" t="s">
        <v>20</v>
      </c>
    </row>
    <row r="46" spans="2:27" x14ac:dyDescent="0.25">
      <c r="C46" s="27"/>
      <c r="I46" s="5" t="s">
        <v>20</v>
      </c>
    </row>
    <row r="47" spans="2:27" x14ac:dyDescent="0.25">
      <c r="C47" s="6"/>
      <c r="D47" s="6"/>
      <c r="I47" s="5" t="s">
        <v>20</v>
      </c>
    </row>
    <row r="48" spans="2:27" x14ac:dyDescent="0.25">
      <c r="I48" s="5" t="s">
        <v>20</v>
      </c>
    </row>
    <row r="49" spans="9:12" x14ac:dyDescent="0.25">
      <c r="I49" s="5" t="s">
        <v>20</v>
      </c>
    </row>
    <row r="50" spans="9:12" x14ac:dyDescent="0.25">
      <c r="I50" s="5" t="s">
        <v>20</v>
      </c>
    </row>
    <row r="51" spans="9:12" ht="26.1" customHeight="1" x14ac:dyDescent="0.25">
      <c r="I51" s="5" t="s">
        <v>20</v>
      </c>
    </row>
    <row r="52" spans="9:12" x14ac:dyDescent="0.25">
      <c r="I52" s="5" t="s">
        <v>20</v>
      </c>
    </row>
    <row r="53" spans="9:12" x14ac:dyDescent="0.25">
      <c r="I53" s="5" t="s">
        <v>20</v>
      </c>
    </row>
    <row r="54" spans="9:12" x14ac:dyDescent="0.25">
      <c r="I54" s="5" t="s">
        <v>20</v>
      </c>
    </row>
    <row r="55" spans="9:12" x14ac:dyDescent="0.25">
      <c r="I55" s="5" t="s">
        <v>20</v>
      </c>
    </row>
    <row r="56" spans="9:12" x14ac:dyDescent="0.25">
      <c r="I56" s="5" t="s">
        <v>20</v>
      </c>
      <c r="K56" s="15"/>
    </row>
    <row r="57" spans="9:12" x14ac:dyDescent="0.25">
      <c r="I57" s="5" t="s">
        <v>20</v>
      </c>
    </row>
    <row r="58" spans="9:12" x14ac:dyDescent="0.25">
      <c r="I58" s="5" t="s">
        <v>20</v>
      </c>
      <c r="L58" s="13"/>
    </row>
    <row r="59" spans="9:12" x14ac:dyDescent="0.25">
      <c r="I59" s="5" t="s">
        <v>20</v>
      </c>
    </row>
    <row r="60" spans="9:12" x14ac:dyDescent="0.25">
      <c r="I60" s="5" t="s">
        <v>20</v>
      </c>
    </row>
    <row r="61" spans="9:12" ht="16.5" customHeight="1" x14ac:dyDescent="0.25">
      <c r="I61" s="5" t="s">
        <v>20</v>
      </c>
    </row>
    <row r="62" spans="9:12" x14ac:dyDescent="0.25">
      <c r="I62" s="5" t="s">
        <v>20</v>
      </c>
    </row>
    <row r="63" spans="9:12" x14ac:dyDescent="0.25">
      <c r="I63" s="5" t="s">
        <v>20</v>
      </c>
    </row>
    <row r="64" spans="9:12" x14ac:dyDescent="0.25">
      <c r="I64" s="5" t="s">
        <v>20</v>
      </c>
      <c r="J64" s="80"/>
    </row>
    <row r="65" spans="9:10" x14ac:dyDescent="0.25">
      <c r="I65" s="5" t="s">
        <v>20</v>
      </c>
    </row>
    <row r="66" spans="9:10" x14ac:dyDescent="0.25">
      <c r="I66" s="5" t="s">
        <v>20</v>
      </c>
    </row>
    <row r="67" spans="9:10" x14ac:dyDescent="0.25">
      <c r="I67" s="5" t="s">
        <v>20</v>
      </c>
    </row>
    <row r="68" spans="9:10" x14ac:dyDescent="0.25">
      <c r="I68" s="5" t="s">
        <v>20</v>
      </c>
      <c r="J68" s="6"/>
    </row>
    <row r="69" spans="9:10" x14ac:dyDescent="0.25">
      <c r="I69" s="5" t="s">
        <v>20</v>
      </c>
    </row>
    <row r="70" spans="9:10" x14ac:dyDescent="0.25">
      <c r="I70" s="5" t="s">
        <v>20</v>
      </c>
    </row>
    <row r="71" spans="9:10" x14ac:dyDescent="0.25">
      <c r="I71" s="5" t="s">
        <v>20</v>
      </c>
    </row>
    <row r="72" spans="9:10" x14ac:dyDescent="0.25">
      <c r="I72" s="5" t="s">
        <v>20</v>
      </c>
    </row>
    <row r="73" spans="9:10" x14ac:dyDescent="0.25">
      <c r="I73" s="5" t="s">
        <v>20</v>
      </c>
    </row>
    <row r="74" spans="9:10" x14ac:dyDescent="0.25">
      <c r="I74" s="5" t="s">
        <v>20</v>
      </c>
    </row>
    <row r="75" spans="9:10" x14ac:dyDescent="0.25">
      <c r="I75" s="5" t="s">
        <v>20</v>
      </c>
    </row>
    <row r="76" spans="9:10" x14ac:dyDescent="0.25">
      <c r="I76" s="5" t="s">
        <v>20</v>
      </c>
    </row>
    <row r="77" spans="9:10" x14ac:dyDescent="0.25">
      <c r="I77" s="5" t="s">
        <v>20</v>
      </c>
    </row>
    <row r="78" spans="9:10" x14ac:dyDescent="0.25">
      <c r="I78" s="5" t="s">
        <v>20</v>
      </c>
    </row>
    <row r="79" spans="9:10" x14ac:dyDescent="0.25">
      <c r="I79" s="5" t="s">
        <v>20</v>
      </c>
    </row>
    <row r="80" spans="9:10" x14ac:dyDescent="0.25">
      <c r="I80" s="5" t="s">
        <v>20</v>
      </c>
    </row>
    <row r="81" spans="9:9" x14ac:dyDescent="0.25">
      <c r="I81" s="5" t="s">
        <v>20</v>
      </c>
    </row>
    <row r="82" spans="9:9" x14ac:dyDescent="0.25">
      <c r="I82" s="5" t="s">
        <v>20</v>
      </c>
    </row>
    <row r="83" spans="9:9" x14ac:dyDescent="0.25">
      <c r="I83" s="5" t="s">
        <v>20</v>
      </c>
    </row>
    <row r="84" spans="9:9" x14ac:dyDescent="0.25">
      <c r="I84" s="5" t="s">
        <v>20</v>
      </c>
    </row>
    <row r="85" spans="9:9" x14ac:dyDescent="0.25">
      <c r="I85" s="5" t="s">
        <v>20</v>
      </c>
    </row>
    <row r="86" spans="9:9" x14ac:dyDescent="0.25">
      <c r="I86" s="5" t="s">
        <v>20</v>
      </c>
    </row>
    <row r="87" spans="9:9" x14ac:dyDescent="0.25">
      <c r="I87" s="5" t="s">
        <v>20</v>
      </c>
    </row>
  </sheetData>
  <mergeCells count="7">
    <mergeCell ref="B38:G38"/>
    <mergeCell ref="B2:G3"/>
    <mergeCell ref="F11:G11"/>
    <mergeCell ref="J2:AA3"/>
    <mergeCell ref="J12:AA12"/>
    <mergeCell ref="K13:AA13"/>
    <mergeCell ref="K18:AA18"/>
  </mergeCells>
  <hyperlinks>
    <hyperlink ref="G8" r:id="rId1" xr:uid="{E5E1F3E9-6FF4-4DD2-9396-66BD018D3DBE}"/>
    <hyperlink ref="G13" r:id="rId2" xr:uid="{C8B05D7F-FB91-4CC5-98C4-019F83B34A71}"/>
    <hyperlink ref="G24" r:id="rId3" xr:uid="{2552CF5A-0D74-4083-994C-AA7D68A4CF07}"/>
    <hyperlink ref="G25" r:id="rId4" xr:uid="{3DCD20FB-CEE0-44F1-8AB8-1EDFE6856E6E}"/>
    <hyperlink ref="G20" r:id="rId5" xr:uid="{3390140C-C2B9-442B-BFFD-9E4CC06BEF8D}"/>
    <hyperlink ref="G29" r:id="rId6" xr:uid="{E3EB3DDB-24B7-4D89-9B86-F6A2BD203642}"/>
    <hyperlink ref="G12" r:id="rId7" xr:uid="{A3A7FB1B-9BBE-4C8F-940F-F7634B91CA7C}"/>
    <hyperlink ref="G14" r:id="rId8" xr:uid="{0D2E3E36-B457-4B82-8B41-5C861A1A09E3}"/>
    <hyperlink ref="G17" r:id="rId9" xr:uid="{462D73E7-7C41-448C-96AA-14CE7ED8BF5E}"/>
    <hyperlink ref="G6" r:id="rId10" xr:uid="{1377BD68-1455-4CA5-B53A-A49958BD21AD}"/>
    <hyperlink ref="G18" r:id="rId11" xr:uid="{C950E901-9575-4399-8400-898E355D29FF}"/>
    <hyperlink ref="G19" r:id="rId12" xr:uid="{8ABD794A-54B7-4C17-9E1D-1FB4319EE07C}"/>
    <hyperlink ref="G34" r:id="rId13" xr:uid="{FC79DB4D-F1A2-4867-B198-C747D7EBB296}"/>
    <hyperlink ref="G37" r:id="rId14" xr:uid="{CB65B4DA-FE3D-41E3-A011-5E85A12013BD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A4D1A-FDF0-48D8-96A4-81F9ED51A6B3}">
  <dimension ref="A1:P22"/>
  <sheetViews>
    <sheetView workbookViewId="0">
      <selection activeCell="P2" sqref="P2"/>
    </sheetView>
  </sheetViews>
  <sheetFormatPr defaultRowHeight="15" x14ac:dyDescent="0.25"/>
  <cols>
    <col min="1" max="1" width="25.42578125" bestFit="1" customWidth="1"/>
    <col min="2" max="2" width="25.42578125" customWidth="1"/>
    <col min="3" max="3" width="24.140625" bestFit="1" customWidth="1"/>
    <col min="4" max="5" width="18" bestFit="1" customWidth="1"/>
    <col min="6" max="6" width="19.5703125" bestFit="1" customWidth="1"/>
    <col min="7" max="7" width="19.5703125" customWidth="1"/>
    <col min="8" max="8" width="15.28515625" bestFit="1" customWidth="1"/>
    <col min="9" max="9" width="23.85546875" bestFit="1" customWidth="1"/>
    <col min="10" max="10" width="16.28515625" bestFit="1" customWidth="1"/>
    <col min="11" max="11" width="18.7109375" bestFit="1" customWidth="1"/>
    <col min="12" max="13" width="18.7109375" customWidth="1"/>
    <col min="14" max="14" width="28.7109375" bestFit="1" customWidth="1"/>
    <col min="15" max="15" width="28.85546875" bestFit="1" customWidth="1"/>
    <col min="16" max="16" width="29.28515625" bestFit="1" customWidth="1"/>
  </cols>
  <sheetData>
    <row r="1" spans="1:16" x14ac:dyDescent="0.25">
      <c r="B1" s="170" t="s">
        <v>277</v>
      </c>
      <c r="C1" s="171" t="s">
        <v>278</v>
      </c>
      <c r="D1" s="171" t="s">
        <v>279</v>
      </c>
      <c r="E1" s="171" t="s">
        <v>280</v>
      </c>
      <c r="F1" s="171" t="s">
        <v>281</v>
      </c>
      <c r="G1" s="171" t="s">
        <v>282</v>
      </c>
      <c r="H1" s="171" t="s">
        <v>283</v>
      </c>
      <c r="I1" s="171" t="s">
        <v>284</v>
      </c>
      <c r="J1" s="171" t="s">
        <v>285</v>
      </c>
      <c r="N1" s="162" t="s">
        <v>286</v>
      </c>
      <c r="O1" s="162" t="s">
        <v>287</v>
      </c>
      <c r="P1" s="162" t="s">
        <v>288</v>
      </c>
    </row>
    <row r="2" spans="1:16" x14ac:dyDescent="0.25">
      <c r="A2" s="162" t="s">
        <v>251</v>
      </c>
      <c r="B2" s="40">
        <f>'OtherMI (LB)'!AA69</f>
        <v>910335711.343876</v>
      </c>
      <c r="C2" s="22">
        <f>'Other MI'!AA69</f>
        <v>2054924297.918231</v>
      </c>
      <c r="D2" s="22">
        <f>'OtherMI (UB)'!AA69</f>
        <v>3401069949.8122001</v>
      </c>
      <c r="E2" s="22">
        <f>'SMI (LB)'!AA71</f>
        <v>1071019047.760239</v>
      </c>
      <c r="F2" s="175">
        <f>SMI!AA71</f>
        <v>1991159174.6526418</v>
      </c>
      <c r="G2" s="175">
        <f>'SMI (UB)'!AA71</f>
        <v>3371220948.4097867</v>
      </c>
      <c r="H2" s="175">
        <f>'Children (LB)'!AA39</f>
        <v>69491042.028043509</v>
      </c>
      <c r="I2" s="175">
        <f>Children!AA40</f>
        <v>139679060.76492077</v>
      </c>
      <c r="J2" s="175">
        <f>'Children (UB)'!AA39</f>
        <v>229008847.82447481</v>
      </c>
      <c r="K2" s="175">
        <f>SUM(B2,E2,H2)</f>
        <v>2050845801.1321585</v>
      </c>
      <c r="L2" s="175">
        <f t="shared" ref="L2:M17" si="0">SUM(C2,F2,I2)</f>
        <v>4185762533.3357935</v>
      </c>
      <c r="M2" s="175">
        <f t="shared" si="0"/>
        <v>7001299746.0464611</v>
      </c>
      <c r="N2" s="22">
        <f>SUM(B2,E2,H2)</f>
        <v>2050845801.1321585</v>
      </c>
      <c r="O2" s="22">
        <f>SUM(C2,F2,I2)</f>
        <v>4185762533.3357935</v>
      </c>
      <c r="P2" s="22">
        <f>SUM(D2,G2,J2)</f>
        <v>7001299746.0464611</v>
      </c>
    </row>
    <row r="3" spans="1:16" x14ac:dyDescent="0.25">
      <c r="A3" t="s">
        <v>32</v>
      </c>
      <c r="B3" s="40">
        <f>'OtherMI (LB)'!AA8</f>
        <v>296507.7334397427</v>
      </c>
      <c r="C3" s="22">
        <f>'Other MI'!AA8</f>
        <v>2116642.3879063549</v>
      </c>
      <c r="D3" s="22">
        <f>'OtherMI (UB)'!AA8</f>
        <v>16839896.150652517</v>
      </c>
      <c r="E3" s="22">
        <f>'SMI (LB)'!AA8</f>
        <v>385202.28753006487</v>
      </c>
      <c r="F3" s="175">
        <f>SMI!AA8</f>
        <v>3291954.6284285951</v>
      </c>
      <c r="G3" s="175">
        <f>'SMI (UB)'!AA8</f>
        <v>32095575.202033594</v>
      </c>
      <c r="H3" s="176" t="s">
        <v>289</v>
      </c>
      <c r="I3" s="175"/>
      <c r="J3" s="175"/>
      <c r="K3" s="175">
        <f t="shared" ref="K3:M22" si="1">SUM(B3,E3,H3)</f>
        <v>681710.02096980764</v>
      </c>
      <c r="L3" s="175">
        <f t="shared" si="0"/>
        <v>5408597.01633495</v>
      </c>
      <c r="M3" s="175">
        <f t="shared" si="0"/>
        <v>48935471.352686107</v>
      </c>
    </row>
    <row r="4" spans="1:16" x14ac:dyDescent="0.25">
      <c r="A4" t="s">
        <v>40</v>
      </c>
      <c r="B4" s="40">
        <f>'OtherMI (LB)'!AA14</f>
        <v>16681098.276547292</v>
      </c>
      <c r="C4" s="22">
        <f>'Other MI'!AA14</f>
        <v>101766962.41581102</v>
      </c>
      <c r="D4" s="22">
        <f>'OtherMI (UB)'!AA14</f>
        <v>212572193.17008626</v>
      </c>
      <c r="E4" s="22">
        <f>'SMI (LB)'!AA12</f>
        <v>8344633.5261981869</v>
      </c>
      <c r="F4" s="175">
        <f>SMI!AA12</f>
        <v>66209661.673635922</v>
      </c>
      <c r="G4" s="175">
        <f>'SMI (UB)'!AA12</f>
        <v>175400539.91744444</v>
      </c>
      <c r="H4" s="175">
        <f>'Children (LB)'!AA8</f>
        <v>826058.11241445993</v>
      </c>
      <c r="I4" s="175">
        <f>Children!AA8</f>
        <v>2036473.2642083373</v>
      </c>
      <c r="J4" s="175">
        <f>'Children (UB)'!AA8</f>
        <v>4045789.6763054961</v>
      </c>
      <c r="K4" s="175">
        <f t="shared" si="1"/>
        <v>25851789.915159941</v>
      </c>
      <c r="L4" s="175">
        <f t="shared" si="0"/>
        <v>170013097.35365528</v>
      </c>
      <c r="M4" s="175">
        <f t="shared" si="0"/>
        <v>392018522.76383621</v>
      </c>
    </row>
    <row r="5" spans="1:16" x14ac:dyDescent="0.25">
      <c r="A5" s="162" t="s">
        <v>43</v>
      </c>
      <c r="B5" s="59">
        <f>SUM(B3:B4)</f>
        <v>16977606.009987034</v>
      </c>
      <c r="C5" s="22">
        <f t="shared" ref="C5:J5" si="2">SUM(C3:C4)</f>
        <v>103883604.80371737</v>
      </c>
      <c r="D5" s="22">
        <f t="shared" si="2"/>
        <v>229412089.32073879</v>
      </c>
      <c r="E5" s="22">
        <f>SUM(E3:E4)</f>
        <v>8729835.8137282524</v>
      </c>
      <c r="F5" s="175">
        <f t="shared" si="2"/>
        <v>69501616.302064523</v>
      </c>
      <c r="G5" s="175">
        <f t="shared" si="2"/>
        <v>207496115.11947805</v>
      </c>
      <c r="H5" s="175">
        <f t="shared" si="2"/>
        <v>826058.11241445993</v>
      </c>
      <c r="I5" s="175">
        <f t="shared" si="2"/>
        <v>2036473.2642083373</v>
      </c>
      <c r="J5" s="175">
        <f t="shared" si="2"/>
        <v>4045789.6763054961</v>
      </c>
      <c r="K5" s="175">
        <f t="shared" si="1"/>
        <v>26533499.936129745</v>
      </c>
      <c r="L5" s="175">
        <f t="shared" si="0"/>
        <v>175421694.36999026</v>
      </c>
      <c r="M5" s="175">
        <f t="shared" si="0"/>
        <v>440953994.11652231</v>
      </c>
      <c r="N5" s="162" t="s">
        <v>290</v>
      </c>
      <c r="O5" s="162" t="s">
        <v>291</v>
      </c>
      <c r="P5" s="162" t="s">
        <v>292</v>
      </c>
    </row>
    <row r="6" spans="1:16" x14ac:dyDescent="0.25">
      <c r="A6" t="s">
        <v>252</v>
      </c>
      <c r="B6" s="40">
        <f>'OtherMI (LB)'!AA20</f>
        <v>1486146.8261862195</v>
      </c>
      <c r="C6" s="22">
        <f>'Other MI'!AA20</f>
        <v>3757756.9993925835</v>
      </c>
      <c r="D6" s="22">
        <f>'OtherMI (UB)'!AA20</f>
        <v>10185087.748854525</v>
      </c>
      <c r="E6" s="22">
        <f>'SMI (LB)'!AA18</f>
        <v>1139029.2753426139</v>
      </c>
      <c r="F6" s="175">
        <f>SMI!AA18</f>
        <v>4530057.1825986095</v>
      </c>
      <c r="G6" s="175">
        <f>'SMI (UB)'!AA18</f>
        <v>18041745.572108969</v>
      </c>
      <c r="H6" s="176" t="s">
        <v>289</v>
      </c>
      <c r="I6" s="176" t="s">
        <v>289</v>
      </c>
      <c r="J6" s="176" t="s">
        <v>289</v>
      </c>
      <c r="K6" s="175">
        <f t="shared" si="1"/>
        <v>2625176.1015288336</v>
      </c>
      <c r="L6" s="175">
        <f t="shared" si="0"/>
        <v>8287814.1819911934</v>
      </c>
      <c r="M6" s="175">
        <f t="shared" si="0"/>
        <v>28226833.320963494</v>
      </c>
      <c r="N6" s="22">
        <f>SUM(B5,B8,E5,E8,H5)</f>
        <v>29930462.777945004</v>
      </c>
      <c r="O6" s="22">
        <f>SUM(C5,C8,F5,F8,I5)</f>
        <v>185365209.64623353</v>
      </c>
      <c r="P6" s="22">
        <f>SUM(D5,D8,G5,G8,J5)</f>
        <v>471526262.98831916</v>
      </c>
    </row>
    <row r="7" spans="1:16" x14ac:dyDescent="0.25">
      <c r="A7" t="s">
        <v>253</v>
      </c>
      <c r="B7" s="40">
        <f>'OtherMI (LB)'!AA24</f>
        <v>436918.65620035841</v>
      </c>
      <c r="C7" s="22">
        <f>'Other MI'!AA24</f>
        <v>750707.27205094113</v>
      </c>
      <c r="D7" s="22">
        <f>'OtherMI (UB)'!AA24</f>
        <v>846303.46673634928</v>
      </c>
      <c r="E7" s="22">
        <f>'SMI (LB)'!AA22</f>
        <v>334868.08408606332</v>
      </c>
      <c r="F7" s="175">
        <f>SMI!AA22</f>
        <v>904993.82220113813</v>
      </c>
      <c r="G7" s="175">
        <f>'SMI (UB)'!AA22</f>
        <v>1499132.0840969894</v>
      </c>
      <c r="H7" s="176" t="s">
        <v>289</v>
      </c>
      <c r="I7" s="176" t="s">
        <v>289</v>
      </c>
      <c r="J7" s="176" t="s">
        <v>289</v>
      </c>
      <c r="K7" s="175">
        <f t="shared" si="1"/>
        <v>771786.74028642173</v>
      </c>
      <c r="L7" s="175">
        <f t="shared" si="0"/>
        <v>1655701.0942520793</v>
      </c>
      <c r="M7" s="175">
        <f t="shared" si="0"/>
        <v>2345435.5508333389</v>
      </c>
    </row>
    <row r="8" spans="1:16" x14ac:dyDescent="0.25">
      <c r="A8" s="162" t="s">
        <v>255</v>
      </c>
      <c r="B8" s="40">
        <f>SUM(B6:B7)</f>
        <v>1923065.4823865779</v>
      </c>
      <c r="C8" s="22">
        <f>SUM(C6:C7)</f>
        <v>4508464.2714435244</v>
      </c>
      <c r="D8" s="22">
        <f t="shared" ref="D8:G8" si="3">SUM(D6:D7)</f>
        <v>11031391.215590876</v>
      </c>
      <c r="E8" s="22">
        <f t="shared" si="3"/>
        <v>1473897.3594286772</v>
      </c>
      <c r="F8" s="175">
        <f t="shared" si="3"/>
        <v>5435051.0047997478</v>
      </c>
      <c r="G8" s="175">
        <f t="shared" si="3"/>
        <v>19540877.65620596</v>
      </c>
      <c r="H8" s="176" t="s">
        <v>289</v>
      </c>
      <c r="I8" s="176" t="s">
        <v>289</v>
      </c>
      <c r="J8" s="176" t="s">
        <v>289</v>
      </c>
      <c r="K8" s="175">
        <f t="shared" si="1"/>
        <v>3396962.8418152551</v>
      </c>
      <c r="L8" s="175">
        <f t="shared" si="0"/>
        <v>9943515.2762432732</v>
      </c>
      <c r="M8" s="175">
        <f t="shared" si="0"/>
        <v>30572268.871796835</v>
      </c>
    </row>
    <row r="9" spans="1:16" x14ac:dyDescent="0.25">
      <c r="A9" s="162" t="s">
        <v>257</v>
      </c>
      <c r="B9" s="168" t="s">
        <v>289</v>
      </c>
      <c r="C9" s="145" t="s">
        <v>289</v>
      </c>
      <c r="D9" s="145" t="s">
        <v>289</v>
      </c>
      <c r="E9" s="145" t="s">
        <v>289</v>
      </c>
      <c r="F9" s="176" t="s">
        <v>289</v>
      </c>
      <c r="G9" s="176" t="s">
        <v>289</v>
      </c>
      <c r="H9" s="176">
        <f>'Children (LB)'!AA14</f>
        <v>224358.18407748904</v>
      </c>
      <c r="I9" s="175">
        <f>Children!AA15</f>
        <v>760348.7011842262</v>
      </c>
      <c r="J9" s="175">
        <f>'Children (UB)'!AA14</f>
        <v>2365866.3521307791</v>
      </c>
      <c r="K9" s="175">
        <f t="shared" si="1"/>
        <v>224358.18407748904</v>
      </c>
      <c r="L9" s="175">
        <f t="shared" si="0"/>
        <v>760348.7011842262</v>
      </c>
      <c r="M9" s="175">
        <f t="shared" si="0"/>
        <v>2365866.3521307791</v>
      </c>
    </row>
    <row r="10" spans="1:16" x14ac:dyDescent="0.25">
      <c r="A10" s="162" t="s">
        <v>68</v>
      </c>
      <c r="B10" s="40">
        <f>'OtherMI (LB)'!AA30</f>
        <v>62952454.504009731</v>
      </c>
      <c r="C10" s="22">
        <f>'Other MI'!AA30</f>
        <v>174895232.66445911</v>
      </c>
      <c r="D10" s="22">
        <f>'OtherMI (UB)'!AA30</f>
        <v>283628387.38304913</v>
      </c>
      <c r="E10" s="22">
        <f>'SMI (LB)'!AA27</f>
        <v>92622486.840975374</v>
      </c>
      <c r="F10" s="175">
        <f>SMI!AA27</f>
        <v>235812941.10049668</v>
      </c>
      <c r="G10" s="175">
        <f>'SMI (UB)'!AA27</f>
        <v>382599343.96018147</v>
      </c>
      <c r="H10" s="176" t="s">
        <v>289</v>
      </c>
      <c r="I10" s="175"/>
      <c r="J10" s="175"/>
      <c r="K10" s="175">
        <f t="shared" si="1"/>
        <v>155574941.3449851</v>
      </c>
      <c r="L10" s="175">
        <f t="shared" si="0"/>
        <v>410708173.76495576</v>
      </c>
      <c r="M10" s="175">
        <f t="shared" si="0"/>
        <v>666227731.34323061</v>
      </c>
    </row>
    <row r="11" spans="1:16" x14ac:dyDescent="0.25">
      <c r="A11" t="s">
        <v>76</v>
      </c>
      <c r="B11" s="40">
        <f>'OtherMI (LB)'!AA35</f>
        <v>37702607.973904245</v>
      </c>
      <c r="C11" s="22">
        <f>'Other MI'!AA35</f>
        <v>101099598.49662597</v>
      </c>
      <c r="D11" s="22">
        <f>'OtherMI (UB)'!AA35</f>
        <v>159668269.43411961</v>
      </c>
      <c r="E11" s="22">
        <f>'SMI (LB)'!AA32</f>
        <v>5798757.8379198276</v>
      </c>
      <c r="F11" s="175">
        <f>SMI!AA32</f>
        <v>32092960.133887414</v>
      </c>
      <c r="G11" s="175">
        <f>'SMI (UB)'!AA32</f>
        <v>32446309.745275877</v>
      </c>
      <c r="H11" s="176" t="s">
        <v>289</v>
      </c>
      <c r="I11" s="176" t="s">
        <v>289</v>
      </c>
      <c r="J11" s="176" t="s">
        <v>289</v>
      </c>
      <c r="K11" s="175">
        <f t="shared" si="1"/>
        <v>43501365.811824068</v>
      </c>
      <c r="L11" s="175">
        <f t="shared" si="0"/>
        <v>133192558.63051338</v>
      </c>
      <c r="M11" s="175">
        <f t="shared" si="0"/>
        <v>192114579.1793955</v>
      </c>
      <c r="N11" s="162" t="s">
        <v>293</v>
      </c>
      <c r="O11" s="162" t="s">
        <v>294</v>
      </c>
      <c r="P11" s="162" t="s">
        <v>295</v>
      </c>
    </row>
    <row r="12" spans="1:16" x14ac:dyDescent="0.25">
      <c r="A12" t="s">
        <v>82</v>
      </c>
      <c r="B12" s="40">
        <f>'OtherMI (LB)'!AA39</f>
        <v>282769559.80428183</v>
      </c>
      <c r="C12" s="22">
        <f>'Other MI'!AA39</f>
        <v>589747657.89698493</v>
      </c>
      <c r="D12" s="22">
        <f>'OtherMI (UB)'!AA39</f>
        <v>798341347.17059815</v>
      </c>
      <c r="E12" s="22">
        <f>'SMI (LB)'!AA37</f>
        <v>52188820.541278437</v>
      </c>
      <c r="F12" s="175">
        <f>SMI!AA37</f>
        <v>152393517.28247139</v>
      </c>
      <c r="G12" s="175">
        <f>'SMI (UB)'!AA37</f>
        <v>235235745.6532501</v>
      </c>
      <c r="H12" s="176" t="s">
        <v>289</v>
      </c>
      <c r="I12" s="176" t="s">
        <v>289</v>
      </c>
      <c r="J12" s="176" t="s">
        <v>289</v>
      </c>
      <c r="K12" s="175">
        <f t="shared" si="1"/>
        <v>334958380.34556025</v>
      </c>
      <c r="L12" s="175">
        <f t="shared" si="0"/>
        <v>742141175.17945635</v>
      </c>
      <c r="M12" s="175">
        <f t="shared" si="0"/>
        <v>1033577092.8238482</v>
      </c>
      <c r="N12" s="22">
        <f>SUM(H9,B10,E10,B13,E13,B16,E16,H16,B19,E19)</f>
        <v>1686153861.4505193</v>
      </c>
      <c r="O12" s="22">
        <f>SUM(I9,C10,F10,C13,F13,C16,F16,I16,C19,F19)</f>
        <v>3291947270.2708836</v>
      </c>
      <c r="P12" s="22">
        <f>SUM(J9,D10,G10,D13,G13,D16,G16,J16,D19,G19)</f>
        <v>5294366571.5964575</v>
      </c>
    </row>
    <row r="13" spans="1:16" x14ac:dyDescent="0.25">
      <c r="A13" s="162" t="s">
        <v>259</v>
      </c>
      <c r="B13" s="40">
        <f>SUM(B11:B12)</f>
        <v>320472167.77818608</v>
      </c>
      <c r="C13" s="22">
        <f>SUM(C11:C12)</f>
        <v>690847256.39361095</v>
      </c>
      <c r="D13" s="22">
        <f t="shared" ref="D13:G13" si="4">SUM(D11:D12)</f>
        <v>958009616.60471773</v>
      </c>
      <c r="E13" s="22">
        <f t="shared" si="4"/>
        <v>57987578.379198268</v>
      </c>
      <c r="F13" s="175">
        <f t="shared" si="4"/>
        <v>184486477.4163588</v>
      </c>
      <c r="G13" s="175">
        <f t="shared" si="4"/>
        <v>267682055.39852598</v>
      </c>
      <c r="H13" s="176" t="s">
        <v>289</v>
      </c>
      <c r="I13" s="176" t="s">
        <v>289</v>
      </c>
      <c r="J13" s="176" t="s">
        <v>289</v>
      </c>
      <c r="K13" s="175">
        <f t="shared" si="1"/>
        <v>378459746.15738434</v>
      </c>
      <c r="L13" s="175">
        <f t="shared" si="0"/>
        <v>875333733.80996978</v>
      </c>
      <c r="M13" s="175">
        <f t="shared" si="0"/>
        <v>1225691672.0032437</v>
      </c>
    </row>
    <row r="14" spans="1:16" x14ac:dyDescent="0.25">
      <c r="A14" t="s">
        <v>261</v>
      </c>
      <c r="B14" s="40">
        <f>'OtherMI (LB)'!AA44</f>
        <v>221172335.99999997</v>
      </c>
      <c r="C14" s="22">
        <f>'Other MI'!AA44</f>
        <v>403756055.99999994</v>
      </c>
      <c r="D14" s="22">
        <f>'OtherMI (UB)'!AA44</f>
        <v>485594999.99999994</v>
      </c>
      <c r="E14" s="22">
        <f>'SMI (LB)'!AA42</f>
        <v>563690748</v>
      </c>
      <c r="F14" s="175">
        <f>SMI!AA42</f>
        <v>563690748</v>
      </c>
      <c r="G14" s="175">
        <f>'SMI (UB)'!AA42</f>
        <v>563690748</v>
      </c>
      <c r="H14" s="175">
        <f>'Children (LB)'!AA19</f>
        <v>9719651.8965139221</v>
      </c>
      <c r="I14" s="175">
        <f>Children!AA20</f>
        <v>27599654.880971666</v>
      </c>
      <c r="J14" s="175">
        <f>'Children (UB)'!AA19</f>
        <v>50467413.631373093</v>
      </c>
      <c r="K14" s="175">
        <f t="shared" si="1"/>
        <v>794582735.89651394</v>
      </c>
      <c r="L14" s="175">
        <f t="shared" si="0"/>
        <v>995046458.88097167</v>
      </c>
      <c r="M14" s="175">
        <f t="shared" si="0"/>
        <v>1099753161.6313732</v>
      </c>
    </row>
    <row r="15" spans="1:16" x14ac:dyDescent="0.25">
      <c r="A15" t="s">
        <v>95</v>
      </c>
      <c r="B15" s="168" t="s">
        <v>289</v>
      </c>
      <c r="C15" s="145" t="s">
        <v>289</v>
      </c>
      <c r="D15" s="145" t="s">
        <v>289</v>
      </c>
      <c r="E15" s="22">
        <f>'SMI (LB)'!AA47</f>
        <v>180063439.32203391</v>
      </c>
      <c r="F15" s="175">
        <f>SMI!AA47</f>
        <v>431324037.96610159</v>
      </c>
      <c r="G15" s="175">
        <f>'SMI (UB)'!AA47</f>
        <v>670025288.1355933</v>
      </c>
      <c r="H15" s="175">
        <f>'Children (LB)'!AA23</f>
        <v>22156176</v>
      </c>
      <c r="I15" s="175">
        <f>Children!AA24</f>
        <v>40446696</v>
      </c>
      <c r="J15" s="175">
        <f>'Children (UB)'!AA23</f>
        <v>48645000</v>
      </c>
      <c r="K15" s="175">
        <f t="shared" si="1"/>
        <v>202219615.32203391</v>
      </c>
      <c r="L15" s="175">
        <f t="shared" si="0"/>
        <v>471770733.96610159</v>
      </c>
      <c r="M15" s="175">
        <f t="shared" si="0"/>
        <v>718670288.1355933</v>
      </c>
    </row>
    <row r="16" spans="1:16" x14ac:dyDescent="0.25">
      <c r="A16" s="162" t="s">
        <v>264</v>
      </c>
      <c r="B16" s="40">
        <f>SUM(B14:B15)</f>
        <v>221172335.99999997</v>
      </c>
      <c r="C16" s="22">
        <f>SUM(C14:C15)</f>
        <v>403756055.99999994</v>
      </c>
      <c r="D16" s="22">
        <f t="shared" ref="D16:J16" si="5">SUM(D14:D15)</f>
        <v>485594999.99999994</v>
      </c>
      <c r="E16" s="22">
        <f t="shared" si="5"/>
        <v>743754187.32203388</v>
      </c>
      <c r="F16" s="175">
        <f t="shared" si="5"/>
        <v>995014785.96610165</v>
      </c>
      <c r="G16" s="175">
        <f t="shared" si="5"/>
        <v>1233716036.1355934</v>
      </c>
      <c r="H16" s="175">
        <f t="shared" si="5"/>
        <v>31875827.896513924</v>
      </c>
      <c r="I16" s="175">
        <f t="shared" si="5"/>
        <v>68046350.88097167</v>
      </c>
      <c r="J16" s="175">
        <f t="shared" si="5"/>
        <v>99112413.631373093</v>
      </c>
      <c r="K16" s="175">
        <f t="shared" si="1"/>
        <v>996802351.21854782</v>
      </c>
      <c r="L16" s="175">
        <f t="shared" si="0"/>
        <v>1466817192.8470733</v>
      </c>
      <c r="M16" s="175">
        <f t="shared" si="0"/>
        <v>1818423449.7669666</v>
      </c>
      <c r="N16" s="162" t="s">
        <v>296</v>
      </c>
      <c r="O16" s="162" t="s">
        <v>297</v>
      </c>
      <c r="P16" s="162" t="s">
        <v>298</v>
      </c>
    </row>
    <row r="17" spans="1:16" x14ac:dyDescent="0.25">
      <c r="A17" t="s">
        <v>265</v>
      </c>
      <c r="B17" s="40">
        <f>'OtherMI (LB)'!AA51</f>
        <v>92203328.360021532</v>
      </c>
      <c r="C17" s="22">
        <f>'Other MI'!AA51</f>
        <v>305905753.31472009</v>
      </c>
      <c r="D17" s="22">
        <f>'OtherMI (UB)'!AA51</f>
        <v>874407420.85983133</v>
      </c>
      <c r="E17" s="22">
        <f>'SMI (LB)'!AA53</f>
        <v>54996305.974779688</v>
      </c>
      <c r="F17" s="175">
        <f>SMI!AA53</f>
        <v>211921994.09274572</v>
      </c>
      <c r="G17" s="175">
        <f>'SMI (UB)'!AA53</f>
        <v>694031367.69746459</v>
      </c>
      <c r="H17" s="176" t="s">
        <v>289</v>
      </c>
      <c r="I17" s="176" t="s">
        <v>289</v>
      </c>
      <c r="J17" s="176" t="s">
        <v>289</v>
      </c>
      <c r="K17" s="175">
        <f t="shared" si="1"/>
        <v>147199634.33480123</v>
      </c>
      <c r="L17" s="175">
        <f t="shared" si="0"/>
        <v>517827747.40746582</v>
      </c>
      <c r="M17" s="175">
        <f t="shared" si="0"/>
        <v>1568438788.5572958</v>
      </c>
      <c r="N17" s="22">
        <f>SUM(B22,E22,H22)</f>
        <v>334761476.90369421</v>
      </c>
      <c r="O17" s="22">
        <f>SUM(C22,F22,I22)</f>
        <v>708450053.41867661</v>
      </c>
      <c r="P17" s="22">
        <f>SUM(D22,G22,J22)</f>
        <v>1235406911.4616845</v>
      </c>
    </row>
    <row r="18" spans="1:16" x14ac:dyDescent="0.25">
      <c r="A18" t="s">
        <v>266</v>
      </c>
      <c r="B18" s="40">
        <f>'OtherMI (LB)'!AA55</f>
        <v>5228412.9026285475</v>
      </c>
      <c r="C18" s="22">
        <f>'Other MI'!AA55</f>
        <v>12688326.434160002</v>
      </c>
      <c r="D18" s="22">
        <f>'OtherMI (UB)'!AA55</f>
        <v>7645003.8829334602</v>
      </c>
      <c r="E18" s="22">
        <f>'SMI (LB)'!AA57</f>
        <v>2664417.3080949155</v>
      </c>
      <c r="F18" s="175">
        <f>SMI!AA57</f>
        <v>7811747.3060745755</v>
      </c>
      <c r="G18" s="175">
        <f>'SMI (UB)'!AA57</f>
        <v>5574059.6906570848</v>
      </c>
      <c r="H18" s="176" t="s">
        <v>289</v>
      </c>
      <c r="I18" s="176" t="s">
        <v>289</v>
      </c>
      <c r="J18" s="176" t="s">
        <v>289</v>
      </c>
      <c r="K18" s="175">
        <f t="shared" si="1"/>
        <v>7892830.2107234634</v>
      </c>
      <c r="L18" s="175">
        <f t="shared" si="1"/>
        <v>20500073.740234576</v>
      </c>
      <c r="M18" s="175">
        <f t="shared" si="1"/>
        <v>13219063.573590545</v>
      </c>
    </row>
    <row r="19" spans="1:16" x14ac:dyDescent="0.25">
      <c r="A19" s="162" t="s">
        <v>268</v>
      </c>
      <c r="B19" s="40">
        <f>SUM(B17:B18)</f>
        <v>97431741.262650073</v>
      </c>
      <c r="C19" s="22">
        <f>SUM(C17:C18)</f>
        <v>318594079.74888009</v>
      </c>
      <c r="D19" s="22">
        <f t="shared" ref="D19:G19" si="6">SUM(D17:D18)</f>
        <v>882052424.74276483</v>
      </c>
      <c r="E19" s="22">
        <f t="shared" si="6"/>
        <v>57660723.282874607</v>
      </c>
      <c r="F19" s="175">
        <f t="shared" si="6"/>
        <v>219733741.39882031</v>
      </c>
      <c r="G19" s="175">
        <f t="shared" si="6"/>
        <v>699605427.38812172</v>
      </c>
      <c r="H19" s="176" t="s">
        <v>289</v>
      </c>
      <c r="I19" s="176" t="s">
        <v>289</v>
      </c>
      <c r="J19" s="176" t="s">
        <v>289</v>
      </c>
      <c r="K19" s="175">
        <f t="shared" si="1"/>
        <v>155092464.54552469</v>
      </c>
      <c r="L19" s="175">
        <f t="shared" si="1"/>
        <v>538327821.14770043</v>
      </c>
      <c r="M19" s="175">
        <f t="shared" si="1"/>
        <v>1581657852.1308866</v>
      </c>
    </row>
    <row r="20" spans="1:16" x14ac:dyDescent="0.25">
      <c r="A20" t="s">
        <v>270</v>
      </c>
      <c r="B20" s="40">
        <f>'OtherMI (LB)'!AA61</f>
        <v>39369696.590494521</v>
      </c>
      <c r="C20" s="22">
        <f>'Other MI'!AA61</f>
        <v>59400366.692400008</v>
      </c>
      <c r="D20" s="22">
        <f>'OtherMI (UB)'!AA61</f>
        <v>87344998.502166003</v>
      </c>
      <c r="E20" s="22">
        <f>'SMI (LB)'!AA63</f>
        <v>26348575.050000001</v>
      </c>
      <c r="F20" s="175">
        <f>SMI!AA63</f>
        <v>56086373.039999992</v>
      </c>
      <c r="G20" s="175">
        <f>'SMI (UB)'!AA63</f>
        <v>111143711.07840002</v>
      </c>
      <c r="H20" s="175">
        <f>'Children (LB)'!AA29</f>
        <v>13735779.24967836</v>
      </c>
      <c r="I20" s="175">
        <f>Children!AA30</f>
        <v>26020848.909737002</v>
      </c>
      <c r="J20" s="175">
        <f>'Children (UB)'!AA29</f>
        <v>46820593.381561741</v>
      </c>
      <c r="K20" s="175">
        <f t="shared" si="1"/>
        <v>79454050.890172884</v>
      </c>
      <c r="L20" s="175">
        <f t="shared" si="1"/>
        <v>141507588.64213699</v>
      </c>
      <c r="M20" s="175">
        <f t="shared" si="1"/>
        <v>245309302.96212775</v>
      </c>
    </row>
    <row r="21" spans="1:16" x14ac:dyDescent="0.25">
      <c r="A21" t="s">
        <v>272</v>
      </c>
      <c r="B21" s="40">
        <f>'OtherMI (LB)'!AA65</f>
        <v>150036643.71616206</v>
      </c>
      <c r="C21" s="22">
        <f>'Other MI'!AA65</f>
        <v>299039237.34372002</v>
      </c>
      <c r="D21" s="22">
        <f>'OtherMI (UB)'!AA65</f>
        <v>463996042.0431729</v>
      </c>
      <c r="E21" s="22">
        <f>'SMI (LB)'!AA67</f>
        <v>82441763.712000012</v>
      </c>
      <c r="F21" s="175">
        <f>SMI!AA67</f>
        <v>225088188.42399999</v>
      </c>
      <c r="G21" s="175">
        <f>'SMI (UB)'!AA67</f>
        <v>449437381.67328012</v>
      </c>
      <c r="H21" s="175">
        <f>'Children (LB)'!AA33</f>
        <v>22829018.585359283</v>
      </c>
      <c r="I21" s="175">
        <f>Children!AA34</f>
        <v>42815039.00881955</v>
      </c>
      <c r="J21" s="175">
        <f>'Children (UB)'!AA33</f>
        <v>76664184.783103704</v>
      </c>
      <c r="K21" s="175">
        <f t="shared" si="1"/>
        <v>255307426.01352134</v>
      </c>
      <c r="L21" s="175">
        <f t="shared" si="1"/>
        <v>566942464.77653956</v>
      </c>
      <c r="M21" s="175">
        <f t="shared" si="1"/>
        <v>990097608.49955678</v>
      </c>
    </row>
    <row r="22" spans="1:16" x14ac:dyDescent="0.25">
      <c r="A22" s="162" t="s">
        <v>273</v>
      </c>
      <c r="B22" s="40">
        <f>SUM(B20:B21)</f>
        <v>189406340.30665657</v>
      </c>
      <c r="C22" s="22">
        <f>SUM(C20:C21)</f>
        <v>358439604.03612006</v>
      </c>
      <c r="D22" s="22">
        <f t="shared" ref="D22:J22" si="7">SUM(D20:D21)</f>
        <v>551341040.54533887</v>
      </c>
      <c r="E22" s="22">
        <f t="shared" si="7"/>
        <v>108790338.76200001</v>
      </c>
      <c r="F22" s="175">
        <f t="shared" si="7"/>
        <v>281174561.46399999</v>
      </c>
      <c r="G22" s="175">
        <f t="shared" si="7"/>
        <v>560581092.75168014</v>
      </c>
      <c r="H22" s="175">
        <f t="shared" si="7"/>
        <v>36564797.835037641</v>
      </c>
      <c r="I22" s="175">
        <f t="shared" si="7"/>
        <v>68835887.918556556</v>
      </c>
      <c r="J22" s="175">
        <f t="shared" si="7"/>
        <v>123484778.16466545</v>
      </c>
      <c r="K22" s="175">
        <f t="shared" si="1"/>
        <v>334761476.90369421</v>
      </c>
      <c r="L22" s="175">
        <f t="shared" si="1"/>
        <v>708450053.41867661</v>
      </c>
      <c r="M22" s="175">
        <f t="shared" si="1"/>
        <v>1235406911.4616845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9A382-E5F3-42F1-AD4F-A907CC84798A}">
  <dimension ref="B1:AE97"/>
  <sheetViews>
    <sheetView topLeftCell="B28" zoomScale="70" zoomScaleNormal="70" workbookViewId="0">
      <selection activeCell="H28" sqref="H1:H1048576"/>
    </sheetView>
  </sheetViews>
  <sheetFormatPr defaultRowHeight="15" x14ac:dyDescent="0.25"/>
  <cols>
    <col min="2" max="2" width="25.140625" customWidth="1"/>
    <col min="3" max="3" width="40.85546875" customWidth="1"/>
    <col min="4" max="4" width="18.85546875" customWidth="1"/>
    <col min="5" max="6" width="12.42578125" bestFit="1" customWidth="1"/>
    <col min="7" max="7" width="51.140625" customWidth="1"/>
    <col min="8" max="8" width="18.5703125" customWidth="1"/>
    <col min="10" max="10" width="22.42578125" customWidth="1"/>
    <col min="11" max="11" width="32.5703125" bestFit="1" customWidth="1"/>
    <col min="12" max="12" width="20" style="87" customWidth="1"/>
    <col min="13" max="13" width="13.7109375" customWidth="1"/>
    <col min="14" max="14" width="13" customWidth="1"/>
    <col min="15" max="15" width="11.85546875" customWidth="1"/>
    <col min="16" max="16" width="12.5703125" customWidth="1"/>
    <col min="18" max="18" width="12.7109375" customWidth="1"/>
    <col min="19" max="19" width="12.42578125" customWidth="1"/>
    <col min="20" max="20" width="10.85546875" customWidth="1"/>
    <col min="22" max="22" width="11" bestFit="1" customWidth="1"/>
    <col min="24" max="24" width="13.7109375" customWidth="1"/>
    <col min="26" max="26" width="24.85546875" customWidth="1"/>
    <col min="27" max="27" width="26" bestFit="1" customWidth="1"/>
    <col min="28" max="28" width="25.140625" customWidth="1"/>
    <col min="29" max="29" width="25.5703125" bestFit="1" customWidth="1"/>
    <col min="31" max="31" width="23.5703125" customWidth="1"/>
  </cols>
  <sheetData>
    <row r="1" spans="2:31" ht="15.75" thickBot="1" x14ac:dyDescent="0.3"/>
    <row r="2" spans="2:31" ht="15" customHeight="1" x14ac:dyDescent="0.25">
      <c r="B2" s="188" t="s">
        <v>0</v>
      </c>
      <c r="C2" s="189"/>
      <c r="D2" s="189"/>
      <c r="E2" s="189"/>
      <c r="F2" s="189"/>
      <c r="G2" s="189"/>
      <c r="H2" s="141"/>
      <c r="J2" s="191" t="s">
        <v>1</v>
      </c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</row>
    <row r="3" spans="2:31" ht="14.45" customHeight="1" x14ac:dyDescent="0.25">
      <c r="B3" s="190"/>
      <c r="C3" s="191"/>
      <c r="D3" s="191"/>
      <c r="E3" s="191"/>
      <c r="F3" s="191"/>
      <c r="G3" s="191"/>
      <c r="H3" s="142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</row>
    <row r="4" spans="2:31" x14ac:dyDescent="0.25">
      <c r="B4" s="8"/>
      <c r="C4" s="145" t="s">
        <v>2</v>
      </c>
      <c r="D4" s="145" t="s">
        <v>3</v>
      </c>
      <c r="E4" s="145" t="s">
        <v>4</v>
      </c>
      <c r="F4" s="145" t="s">
        <v>5</v>
      </c>
      <c r="G4" s="145" t="s">
        <v>6</v>
      </c>
      <c r="H4" s="9"/>
    </row>
    <row r="5" spans="2:31" ht="44.1" customHeight="1" x14ac:dyDescent="0.25">
      <c r="B5" s="10" t="s">
        <v>7</v>
      </c>
      <c r="C5">
        <v>5029000</v>
      </c>
      <c r="H5" s="11"/>
      <c r="J5" s="23"/>
      <c r="K5" s="23"/>
      <c r="L5" s="88"/>
      <c r="M5" s="23"/>
      <c r="N5" s="23" t="s">
        <v>8</v>
      </c>
      <c r="O5" s="23" t="s">
        <v>8</v>
      </c>
      <c r="P5" s="23" t="s">
        <v>9</v>
      </c>
      <c r="Q5" s="23"/>
      <c r="R5" s="23" t="s">
        <v>10</v>
      </c>
      <c r="S5" s="23" t="s">
        <v>10</v>
      </c>
      <c r="T5" s="23" t="s">
        <v>11</v>
      </c>
      <c r="U5" s="23"/>
      <c r="V5" s="23" t="s">
        <v>12</v>
      </c>
      <c r="W5" s="23"/>
      <c r="X5" s="23" t="s">
        <v>13</v>
      </c>
      <c r="Y5" s="23"/>
      <c r="Z5" s="23" t="s">
        <v>14</v>
      </c>
      <c r="AA5" s="23" t="s">
        <v>15</v>
      </c>
      <c r="AB5" s="23" t="s">
        <v>16</v>
      </c>
      <c r="AC5" s="23" t="s">
        <v>17</v>
      </c>
      <c r="AE5" s="23" t="s">
        <v>6</v>
      </c>
    </row>
    <row r="6" spans="2:31" ht="36" customHeight="1" x14ac:dyDescent="0.25">
      <c r="B6" s="10" t="s">
        <v>18</v>
      </c>
      <c r="C6">
        <v>4733000</v>
      </c>
      <c r="D6">
        <v>94.1</v>
      </c>
      <c r="E6">
        <v>92.3</v>
      </c>
      <c r="F6">
        <v>95.5</v>
      </c>
      <c r="G6" s="138" t="s">
        <v>19</v>
      </c>
      <c r="H6" s="11"/>
      <c r="I6" s="5" t="s">
        <v>20</v>
      </c>
      <c r="J6" s="6"/>
      <c r="K6" s="6"/>
      <c r="M6" s="6" t="s">
        <v>21</v>
      </c>
      <c r="N6" s="7" t="s">
        <v>152</v>
      </c>
      <c r="O6" s="7" t="s">
        <v>153</v>
      </c>
      <c r="P6" s="7" t="s">
        <v>154</v>
      </c>
      <c r="Q6" s="7"/>
      <c r="R6" s="7" t="s">
        <v>155</v>
      </c>
      <c r="S6" s="7" t="s">
        <v>156</v>
      </c>
      <c r="T6" s="7" t="s">
        <v>157</v>
      </c>
      <c r="U6" s="6"/>
      <c r="V6" s="6"/>
      <c r="W6" s="6"/>
      <c r="X6" s="6"/>
      <c r="Y6" s="6"/>
      <c r="Z6" s="6"/>
      <c r="AA6" s="6"/>
    </row>
    <row r="7" spans="2:31" ht="30" x14ac:dyDescent="0.25">
      <c r="B7" s="10" t="s">
        <v>28</v>
      </c>
      <c r="C7" s="2">
        <v>296000</v>
      </c>
      <c r="D7">
        <v>5.9</v>
      </c>
      <c r="E7">
        <v>4.5</v>
      </c>
      <c r="F7">
        <v>7.7</v>
      </c>
      <c r="G7" s="138" t="s">
        <v>19</v>
      </c>
      <c r="H7" s="11"/>
      <c r="I7" s="5" t="s">
        <v>20</v>
      </c>
      <c r="J7" s="23" t="s">
        <v>29</v>
      </c>
      <c r="K7" s="43" t="s">
        <v>30</v>
      </c>
      <c r="L7" s="89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2:31" x14ac:dyDescent="0.25">
      <c r="B8" s="10" t="s">
        <v>31</v>
      </c>
      <c r="D8" s="13">
        <v>3.1</v>
      </c>
      <c r="E8" s="13">
        <f>E7*0.525</f>
        <v>2.3625000000000003</v>
      </c>
      <c r="F8" s="13">
        <f>F7*0.52</f>
        <v>4.0040000000000004</v>
      </c>
      <c r="H8" s="11"/>
      <c r="I8" s="5" t="s">
        <v>20</v>
      </c>
      <c r="L8" s="87" t="s">
        <v>32</v>
      </c>
      <c r="M8">
        <v>20880</v>
      </c>
      <c r="N8">
        <f>((1-D13)*M8)</f>
        <v>15451.199999999999</v>
      </c>
      <c r="O8">
        <f>C6</f>
        <v>4733000</v>
      </c>
      <c r="P8">
        <f>N8/O8</f>
        <v>3.2645679273188249E-3</v>
      </c>
      <c r="R8">
        <f>D13*M8</f>
        <v>5428.8</v>
      </c>
      <c r="S8" s="2">
        <f>C7</f>
        <v>296000</v>
      </c>
      <c r="T8">
        <f>R8/S8</f>
        <v>1.8340540540540542E-2</v>
      </c>
      <c r="V8">
        <f>T8-P8</f>
        <v>1.5075972613221716E-2</v>
      </c>
      <c r="X8" s="54">
        <f>V8*S8</f>
        <v>4462.4878935136285</v>
      </c>
      <c r="Z8" s="54">
        <f>X8*D9</f>
        <v>2344.6970287952959</v>
      </c>
      <c r="AA8" s="22">
        <f>Z8*D14*D15</f>
        <v>3291954.6284285951</v>
      </c>
      <c r="AB8" s="22">
        <f>Z9*D14*D15</f>
        <v>2508788.0031169541</v>
      </c>
      <c r="AC8" s="22">
        <f>Z10*D14*D15</f>
        <v>4251931.0749122901</v>
      </c>
      <c r="AE8" s="27" t="s">
        <v>33</v>
      </c>
    </row>
    <row r="9" spans="2:31" ht="24.75" x14ac:dyDescent="0.25">
      <c r="B9" s="55" t="s">
        <v>158</v>
      </c>
      <c r="D9" s="146">
        <f>D8/D7</f>
        <v>0.52542372881355925</v>
      </c>
      <c r="E9" s="146">
        <f>E8/D7</f>
        <v>0.40042372881355937</v>
      </c>
      <c r="F9" s="146">
        <f>F8/D7</f>
        <v>0.67864406779661024</v>
      </c>
      <c r="H9" s="11"/>
      <c r="I9" s="5"/>
      <c r="Y9" t="s">
        <v>34</v>
      </c>
      <c r="Z9" s="54">
        <f>X8*E9</f>
        <v>1786.8860421060929</v>
      </c>
      <c r="AA9" s="22"/>
    </row>
    <row r="10" spans="2:31" ht="24.75" x14ac:dyDescent="0.25">
      <c r="B10" s="55" t="s">
        <v>159</v>
      </c>
      <c r="D10" s="173">
        <f>C7*D9</f>
        <v>155525.42372881353</v>
      </c>
      <c r="E10" s="173">
        <f>C7*E9</f>
        <v>118525.42372881358</v>
      </c>
      <c r="F10" s="173">
        <f>C7*F9</f>
        <v>200878.64406779662</v>
      </c>
      <c r="H10" s="11"/>
      <c r="I10" s="5"/>
      <c r="Y10" t="s">
        <v>36</v>
      </c>
      <c r="Z10" s="54">
        <f>X8*F9</f>
        <v>3028.4409365472152</v>
      </c>
    </row>
    <row r="11" spans="2:31" ht="30" x14ac:dyDescent="0.25">
      <c r="B11" s="26" t="s">
        <v>29</v>
      </c>
      <c r="C11" s="24"/>
      <c r="D11" s="24"/>
      <c r="E11" s="24"/>
      <c r="F11" s="24"/>
      <c r="G11" s="24"/>
      <c r="H11" s="25"/>
      <c r="I11" s="5" t="s">
        <v>20</v>
      </c>
    </row>
    <row r="12" spans="2:31" ht="17.45" customHeight="1" x14ac:dyDescent="0.25">
      <c r="B12" s="48" t="s">
        <v>43</v>
      </c>
      <c r="C12" s="3"/>
      <c r="D12" s="3"/>
      <c r="E12" s="3"/>
      <c r="F12" s="192"/>
      <c r="G12" s="192"/>
      <c r="H12" s="143"/>
      <c r="I12" s="5" t="s">
        <v>20</v>
      </c>
      <c r="L12" s="87" t="s">
        <v>40</v>
      </c>
      <c r="M12">
        <v>27180</v>
      </c>
      <c r="N12">
        <f>((1-D17)*M12)</f>
        <v>23293.26</v>
      </c>
      <c r="O12">
        <f>C6</f>
        <v>4733000</v>
      </c>
      <c r="P12">
        <f>N12/O12</f>
        <v>4.9214578491443058E-3</v>
      </c>
      <c r="R12">
        <f>D17*M12</f>
        <v>3886.74</v>
      </c>
      <c r="S12" s="2">
        <f>C7</f>
        <v>296000</v>
      </c>
      <c r="T12">
        <f>R12/S12</f>
        <v>1.3130878378378378E-2</v>
      </c>
      <c r="V12">
        <f>T12-P12</f>
        <v>8.2094205292340718E-3</v>
      </c>
      <c r="X12" s="54">
        <f>V12*S12</f>
        <v>2429.988476653285</v>
      </c>
      <c r="Z12" s="54">
        <f>X12*D9</f>
        <v>1276.7736063771497</v>
      </c>
      <c r="AA12" s="22">
        <f>Z12*D18*D19</f>
        <v>66209661.673635922</v>
      </c>
      <c r="AB12" s="22">
        <f>Z13*D18*D19</f>
        <v>50458169.581924163</v>
      </c>
      <c r="AC12" s="22">
        <f>Z14*D18*D19</f>
        <v>85517253.335883304</v>
      </c>
      <c r="AE12" s="27" t="s">
        <v>33</v>
      </c>
    </row>
    <row r="13" spans="2:31" ht="20.45" customHeight="1" x14ac:dyDescent="0.25">
      <c r="B13" s="14" t="s">
        <v>45</v>
      </c>
      <c r="C13" s="15" t="s">
        <v>160</v>
      </c>
      <c r="D13">
        <v>0.26</v>
      </c>
      <c r="E13" s="164">
        <v>0.254</v>
      </c>
      <c r="F13" s="164">
        <v>0.27400000000000002</v>
      </c>
      <c r="G13" s="138" t="s">
        <v>161</v>
      </c>
      <c r="H13" s="11"/>
      <c r="I13" s="5" t="s">
        <v>20</v>
      </c>
      <c r="Y13" t="s">
        <v>34</v>
      </c>
      <c r="Z13" s="54">
        <f>X12*E9</f>
        <v>973.02504679548929</v>
      </c>
    </row>
    <row r="14" spans="2:31" ht="12.95" customHeight="1" x14ac:dyDescent="0.25">
      <c r="B14" s="8"/>
      <c r="C14" s="147" t="s">
        <v>49</v>
      </c>
      <c r="D14" s="16">
        <v>54</v>
      </c>
      <c r="E14" s="164">
        <v>22</v>
      </c>
      <c r="F14" s="164">
        <v>276</v>
      </c>
      <c r="G14" s="138" t="s">
        <v>50</v>
      </c>
      <c r="H14" s="11"/>
      <c r="I14" s="5" t="s">
        <v>20</v>
      </c>
      <c r="Y14" t="s">
        <v>36</v>
      </c>
      <c r="Z14" s="54">
        <f>X12*F9</f>
        <v>1649.0972644948736</v>
      </c>
    </row>
    <row r="15" spans="2:31" x14ac:dyDescent="0.25">
      <c r="B15" s="8"/>
      <c r="C15" s="15" t="s">
        <v>52</v>
      </c>
      <c r="D15">
        <v>26</v>
      </c>
      <c r="E15" s="164">
        <v>10.1</v>
      </c>
      <c r="F15" s="164">
        <v>35.9</v>
      </c>
      <c r="G15" s="138" t="s">
        <v>53</v>
      </c>
      <c r="H15" s="11"/>
      <c r="I15" s="5" t="s">
        <v>20</v>
      </c>
    </row>
    <row r="16" spans="2:31" ht="15" customHeight="1" x14ac:dyDescent="0.25">
      <c r="B16" s="8"/>
      <c r="C16" s="15"/>
      <c r="E16" s="164"/>
      <c r="F16" s="164"/>
      <c r="H16" s="11"/>
      <c r="I16" s="5" t="s">
        <v>20</v>
      </c>
      <c r="K16" s="44" t="s">
        <v>44</v>
      </c>
      <c r="L16" s="90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2:31" ht="15.95" customHeight="1" x14ac:dyDescent="0.25">
      <c r="B17" s="17" t="s">
        <v>55</v>
      </c>
      <c r="C17" s="15" t="s">
        <v>162</v>
      </c>
      <c r="D17">
        <v>0.14299999999999999</v>
      </c>
      <c r="E17" s="164">
        <v>0.13400000000000001</v>
      </c>
      <c r="F17" s="164">
        <v>0.152</v>
      </c>
      <c r="G17" s="138" t="s">
        <v>161</v>
      </c>
      <c r="H17" s="11"/>
      <c r="I17" s="5" t="s">
        <v>20</v>
      </c>
      <c r="L17" s="87" t="s">
        <v>48</v>
      </c>
      <c r="M17">
        <v>5625</v>
      </c>
      <c r="AE17" s="1" t="s">
        <v>54</v>
      </c>
    </row>
    <row r="18" spans="2:31" ht="30" x14ac:dyDescent="0.25">
      <c r="B18" s="8"/>
      <c r="C18" s="15" t="s">
        <v>57</v>
      </c>
      <c r="D18" s="16">
        <v>52.62</v>
      </c>
      <c r="E18" s="164"/>
      <c r="F18" s="164"/>
      <c r="G18" s="138" t="s">
        <v>58</v>
      </c>
      <c r="H18" s="11"/>
      <c r="I18" s="5" t="s">
        <v>20</v>
      </c>
      <c r="L18" s="87" t="s">
        <v>51</v>
      </c>
      <c r="M18">
        <f>M17-M22</f>
        <v>5222</v>
      </c>
      <c r="N18">
        <f>((1-D22)*M18)</f>
        <v>3916.5</v>
      </c>
      <c r="O18">
        <f>C6</f>
        <v>4733000</v>
      </c>
      <c r="P18">
        <f>N18/O18</f>
        <v>8.2748785125713077E-4</v>
      </c>
      <c r="R18">
        <f>D22*M18</f>
        <v>1305.5</v>
      </c>
      <c r="S18" s="2">
        <f>C7</f>
        <v>296000</v>
      </c>
      <c r="T18">
        <f>R18/S18</f>
        <v>4.4104729729729734E-3</v>
      </c>
      <c r="V18">
        <f>T18-P18</f>
        <v>3.5829851217158426E-3</v>
      </c>
      <c r="X18" s="54">
        <f>V18*S18</f>
        <v>1060.5635960278894</v>
      </c>
      <c r="Z18" s="54">
        <f>X18*D9</f>
        <v>557.24527926889095</v>
      </c>
      <c r="AA18" s="22">
        <f>Z18*D25*D23</f>
        <v>4530057.1825986095</v>
      </c>
      <c r="AB18" s="22">
        <f>Z19*D25*D23</f>
        <v>3452341.9657707149</v>
      </c>
      <c r="AC18" s="22">
        <f>Z20*D25*D23</f>
        <v>5851080.3093951074</v>
      </c>
    </row>
    <row r="19" spans="2:31" ht="24.6" customHeight="1" x14ac:dyDescent="0.25">
      <c r="B19" s="8"/>
      <c r="C19" s="147" t="s">
        <v>163</v>
      </c>
      <c r="D19">
        <f>2.7*365</f>
        <v>985.50000000000011</v>
      </c>
      <c r="E19" s="164">
        <v>182.5</v>
      </c>
      <c r="F19" s="164">
        <v>1826</v>
      </c>
      <c r="G19" s="138" t="s">
        <v>61</v>
      </c>
      <c r="H19" s="11"/>
      <c r="I19" s="5" t="s">
        <v>20</v>
      </c>
      <c r="Y19" t="s">
        <v>34</v>
      </c>
      <c r="Z19" s="54">
        <f>X18*E9</f>
        <v>424.67482976540492</v>
      </c>
    </row>
    <row r="20" spans="2:31" x14ac:dyDescent="0.25">
      <c r="B20" s="8"/>
      <c r="C20" s="147"/>
      <c r="G20" s="138"/>
      <c r="H20" s="12"/>
      <c r="I20" s="5" t="s">
        <v>20</v>
      </c>
      <c r="Y20" t="s">
        <v>36</v>
      </c>
      <c r="Z20" s="54">
        <f>X18*F9</f>
        <v>719.74519296536766</v>
      </c>
    </row>
    <row r="21" spans="2:31" ht="26.45" customHeight="1" x14ac:dyDescent="0.25">
      <c r="B21" s="49" t="s">
        <v>44</v>
      </c>
      <c r="C21" s="148"/>
      <c r="D21" s="4"/>
      <c r="E21" s="4"/>
      <c r="F21" s="4"/>
      <c r="G21" s="4"/>
      <c r="H21" s="18"/>
      <c r="I21" s="5" t="s">
        <v>20</v>
      </c>
    </row>
    <row r="22" spans="2:31" ht="30" x14ac:dyDescent="0.25">
      <c r="B22" s="8"/>
      <c r="C22" s="15" t="s">
        <v>164</v>
      </c>
      <c r="D22">
        <v>0.25</v>
      </c>
      <c r="E22">
        <v>0.2</v>
      </c>
      <c r="F22">
        <v>0.30399999999999999</v>
      </c>
      <c r="G22" s="138" t="s">
        <v>165</v>
      </c>
      <c r="H22" s="11"/>
      <c r="I22" s="5" t="s">
        <v>20</v>
      </c>
      <c r="L22" s="87" t="s">
        <v>59</v>
      </c>
      <c r="M22">
        <v>403</v>
      </c>
      <c r="N22">
        <f>((1-D22)*M22)</f>
        <v>302.25</v>
      </c>
      <c r="O22">
        <f>C6</f>
        <v>4733000</v>
      </c>
      <c r="P22">
        <f>N22/O22</f>
        <v>6.3860130995140504E-5</v>
      </c>
      <c r="R22">
        <f>D22*M22</f>
        <v>100.75</v>
      </c>
      <c r="S22" s="2">
        <f>C7</f>
        <v>296000</v>
      </c>
      <c r="T22">
        <f>R22/S22</f>
        <v>3.4037162162162165E-4</v>
      </c>
      <c r="V22">
        <f>T22-P22</f>
        <v>2.7651149062648113E-4</v>
      </c>
      <c r="X22" s="54">
        <f>V22*S22</f>
        <v>81.847401225438418</v>
      </c>
      <c r="Z22" s="54">
        <f>X22*D9</f>
        <v>43.004566745569335</v>
      </c>
      <c r="AA22" s="22">
        <f>Z22*D25*D26</f>
        <v>904993.82220113813</v>
      </c>
      <c r="AB22" s="22">
        <f>Z23*D25*D26</f>
        <v>689692.87256457715</v>
      </c>
      <c r="AC22" s="22">
        <f>D25*D26*Z24</f>
        <v>1168901.6980946315</v>
      </c>
    </row>
    <row r="23" spans="2:31" ht="24.6" customHeight="1" x14ac:dyDescent="0.25">
      <c r="B23" s="8"/>
      <c r="C23" s="15" t="s">
        <v>66</v>
      </c>
      <c r="D23">
        <f>30*4.7</f>
        <v>141</v>
      </c>
      <c r="E23">
        <f>2.1*30</f>
        <v>63</v>
      </c>
      <c r="F23">
        <f>11.3*30</f>
        <v>339</v>
      </c>
      <c r="G23" s="38" t="s">
        <v>67</v>
      </c>
      <c r="H23" s="163"/>
      <c r="I23" s="97" t="s">
        <v>166</v>
      </c>
      <c r="Y23" t="s">
        <v>62</v>
      </c>
      <c r="Z23" s="54">
        <f>X22*E9</f>
        <v>32.773641592389538</v>
      </c>
    </row>
    <row r="24" spans="2:31" ht="29.45" customHeight="1" x14ac:dyDescent="0.25">
      <c r="B24" s="8"/>
      <c r="C24" s="147" t="s">
        <v>167</v>
      </c>
      <c r="D24" s="19">
        <v>20571</v>
      </c>
      <c r="G24" s="138" t="s">
        <v>70</v>
      </c>
      <c r="H24" s="11"/>
      <c r="I24" s="5" t="s">
        <v>20</v>
      </c>
      <c r="Y24" t="s">
        <v>36</v>
      </c>
      <c r="Z24" s="54">
        <f>X22*F9</f>
        <v>55.545253306212793</v>
      </c>
    </row>
    <row r="25" spans="2:31" ht="15.75" x14ac:dyDescent="0.25">
      <c r="B25" s="8"/>
      <c r="C25" s="15" t="s">
        <v>168</v>
      </c>
      <c r="D25" s="40">
        <f>D24/365*1.023</f>
        <v>57.655158904109584</v>
      </c>
      <c r="G25" s="138"/>
      <c r="H25" s="11"/>
      <c r="I25" s="5" t="s">
        <v>20</v>
      </c>
      <c r="J25" s="29" t="s">
        <v>65</v>
      </c>
      <c r="K25" s="28"/>
      <c r="L25" s="91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</row>
    <row r="26" spans="2:31" ht="18" customHeight="1" x14ac:dyDescent="0.25">
      <c r="B26" s="8"/>
      <c r="C26" s="15" t="s">
        <v>73</v>
      </c>
      <c r="D26">
        <v>365</v>
      </c>
      <c r="E26" s="97">
        <f>8*30</f>
        <v>240</v>
      </c>
      <c r="F26">
        <v>365</v>
      </c>
      <c r="G26" s="38" t="s">
        <v>74</v>
      </c>
      <c r="H26" s="11"/>
      <c r="I26" s="5" t="s">
        <v>166</v>
      </c>
      <c r="K26" s="45" t="s">
        <v>68</v>
      </c>
      <c r="L26" s="92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</row>
    <row r="27" spans="2:31" x14ac:dyDescent="0.25">
      <c r="B27" s="8"/>
      <c r="C27" s="15" t="s">
        <v>169</v>
      </c>
      <c r="D27">
        <v>2.3E-2</v>
      </c>
      <c r="H27" s="11"/>
      <c r="M27" s="53">
        <v>116627</v>
      </c>
      <c r="N27" s="54">
        <f>(1-D30)*M27</f>
        <v>105314.181</v>
      </c>
      <c r="O27" s="53">
        <f>D34</f>
        <v>3187972.4959999998</v>
      </c>
      <c r="P27">
        <f>N27/O27</f>
        <v>3.3034846170140859E-2</v>
      </c>
      <c r="R27" s="53">
        <f>M27*D30</f>
        <v>11312.819</v>
      </c>
      <c r="S27" s="53">
        <f>D36</f>
        <v>51969.711040000053</v>
      </c>
      <c r="T27">
        <f>R27/S27</f>
        <v>0.21768100637105231</v>
      </c>
      <c r="V27" s="56">
        <f>T27-P27</f>
        <v>0.18464616020091146</v>
      </c>
      <c r="X27" s="54">
        <f>V27*S27</f>
        <v>9596.0075902869266</v>
      </c>
      <c r="Z27" s="54">
        <f>X27*D9</f>
        <v>5041.9700898117744</v>
      </c>
      <c r="AA27" s="22">
        <f>Z27*D31</f>
        <v>235812941.10049668</v>
      </c>
      <c r="AB27" s="22">
        <f>Z28*D31</f>
        <v>179712281.7257818</v>
      </c>
      <c r="AC27" s="22">
        <f>Z29*D31</f>
        <v>304579037.47302872</v>
      </c>
      <c r="AE27" s="27" t="s">
        <v>71</v>
      </c>
    </row>
    <row r="28" spans="2:31" x14ac:dyDescent="0.25">
      <c r="B28" s="35" t="s">
        <v>65</v>
      </c>
      <c r="C28" s="29"/>
      <c r="D28" s="29"/>
      <c r="E28" s="29"/>
      <c r="F28" s="29"/>
      <c r="G28" s="29"/>
      <c r="H28" s="36"/>
      <c r="Y28" t="s">
        <v>62</v>
      </c>
      <c r="Z28" s="54">
        <f>X27*E9</f>
        <v>3842.4691410259097</v>
      </c>
    </row>
    <row r="29" spans="2:31" x14ac:dyDescent="0.25">
      <c r="B29" s="50" t="s">
        <v>68</v>
      </c>
      <c r="C29" s="149"/>
      <c r="D29" s="30"/>
      <c r="E29" s="30"/>
      <c r="F29" s="30"/>
      <c r="G29" s="30"/>
      <c r="H29" s="37"/>
      <c r="Y29" t="s">
        <v>36</v>
      </c>
      <c r="Z29" s="54">
        <f>X27*F9</f>
        <v>6512.2736256794678</v>
      </c>
    </row>
    <row r="30" spans="2:31" x14ac:dyDescent="0.25">
      <c r="B30" s="8"/>
      <c r="C30" s="15" t="s">
        <v>170</v>
      </c>
      <c r="D30" s="56">
        <v>9.7000000000000003E-2</v>
      </c>
      <c r="G30" s="138" t="s">
        <v>19</v>
      </c>
      <c r="H30" s="11"/>
      <c r="I30" s="5" t="s">
        <v>20</v>
      </c>
    </row>
    <row r="31" spans="2:31" x14ac:dyDescent="0.25">
      <c r="B31" s="8"/>
      <c r="C31" s="15" t="s">
        <v>78</v>
      </c>
      <c r="D31" s="57">
        <v>46770</v>
      </c>
      <c r="E31">
        <v>25620</v>
      </c>
      <c r="F31">
        <v>56250</v>
      </c>
      <c r="G31" s="38" t="s">
        <v>79</v>
      </c>
      <c r="H31" s="11"/>
      <c r="I31" s="5" t="s">
        <v>20</v>
      </c>
      <c r="K31" s="81" t="s">
        <v>75</v>
      </c>
      <c r="L31" s="93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</row>
    <row r="32" spans="2:31" x14ac:dyDescent="0.25">
      <c r="B32" s="8"/>
      <c r="C32" s="15" t="s">
        <v>80</v>
      </c>
      <c r="D32">
        <v>3387856</v>
      </c>
      <c r="G32" s="38" t="s">
        <v>81</v>
      </c>
      <c r="H32" s="11"/>
      <c r="I32" s="5" t="s">
        <v>20</v>
      </c>
      <c r="M32" s="53"/>
      <c r="N32" s="53"/>
      <c r="O32" s="53"/>
      <c r="P32" s="67"/>
      <c r="R32" s="2"/>
      <c r="S32" s="2"/>
      <c r="V32" s="56"/>
      <c r="X32" s="2">
        <f>S27-R27</f>
        <v>40656.89204000005</v>
      </c>
      <c r="Z32" s="54">
        <f>X32*D9</f>
        <v>21362.095817627142</v>
      </c>
      <c r="AA32" s="59">
        <f>Z32*D46*D40</f>
        <v>32092960.133887414</v>
      </c>
      <c r="AB32" s="59">
        <f>Z33*D46*D40</f>
        <v>24457941.392357752</v>
      </c>
      <c r="AC32" s="59">
        <f>Z34*D46*D40</f>
        <v>41451681.411640406</v>
      </c>
    </row>
    <row r="33" spans="2:29" x14ac:dyDescent="0.25">
      <c r="B33" s="8"/>
      <c r="C33" s="15" t="s">
        <v>83</v>
      </c>
      <c r="D33" s="74">
        <v>116627</v>
      </c>
      <c r="G33" s="38" t="s">
        <v>81</v>
      </c>
      <c r="H33" s="11"/>
      <c r="I33" s="5" t="s">
        <v>20</v>
      </c>
      <c r="Y33" t="s">
        <v>62</v>
      </c>
      <c r="Z33" s="54">
        <f>X32*E9</f>
        <v>16279.984312627141</v>
      </c>
    </row>
    <row r="34" spans="2:29" x14ac:dyDescent="0.25">
      <c r="B34" s="8"/>
      <c r="C34" s="15" t="s">
        <v>171</v>
      </c>
      <c r="D34" s="53">
        <f>D32*0.941</f>
        <v>3187972.4959999998</v>
      </c>
      <c r="E34" s="53">
        <f>D32*0.923</f>
        <v>3126991.088</v>
      </c>
      <c r="F34" s="53">
        <f>D32*0.955</f>
        <v>3235402.48</v>
      </c>
      <c r="G34" s="38"/>
      <c r="H34" s="11"/>
      <c r="I34" s="5" t="s">
        <v>20</v>
      </c>
      <c r="Y34" t="s">
        <v>36</v>
      </c>
      <c r="Z34" s="54">
        <f>X32*F9</f>
        <v>27591.558597993258</v>
      </c>
    </row>
    <row r="35" spans="2:29" x14ac:dyDescent="0.25">
      <c r="B35" s="8"/>
      <c r="C35" s="15" t="s">
        <v>85</v>
      </c>
      <c r="D35" s="53">
        <f>D32-D34</f>
        <v>199883.50400000019</v>
      </c>
      <c r="E35" s="53">
        <f>D32-E34</f>
        <v>260864.91200000001</v>
      </c>
      <c r="F35" s="53">
        <f>D32-F34</f>
        <v>152453.52000000002</v>
      </c>
      <c r="G35" s="38"/>
      <c r="H35" s="11"/>
      <c r="I35" s="5" t="s">
        <v>20</v>
      </c>
      <c r="Z35" s="54"/>
    </row>
    <row r="36" spans="2:29" x14ac:dyDescent="0.25">
      <c r="B36" s="8"/>
      <c r="C36" s="15" t="s">
        <v>172</v>
      </c>
      <c r="D36" s="53">
        <f>D35*0.26</f>
        <v>51969.711040000053</v>
      </c>
      <c r="E36" s="53">
        <f t="shared" ref="E36:F36" si="0">E35*0.26</f>
        <v>67824.877120000005</v>
      </c>
      <c r="F36" s="53">
        <f t="shared" si="0"/>
        <v>39637.915200000003</v>
      </c>
      <c r="H36" s="11"/>
      <c r="I36" s="5" t="s">
        <v>20</v>
      </c>
    </row>
    <row r="37" spans="2:29" x14ac:dyDescent="0.25">
      <c r="B37" s="8"/>
      <c r="C37" s="15"/>
      <c r="D37" s="53"/>
      <c r="G37" s="38"/>
      <c r="H37" s="11"/>
      <c r="I37" s="5" t="s">
        <v>20</v>
      </c>
      <c r="M37" s="53"/>
      <c r="N37" s="53"/>
      <c r="O37" s="53"/>
      <c r="R37" s="2"/>
      <c r="S37" s="2"/>
      <c r="X37" s="2">
        <f>S27-R27</f>
        <v>40656.89204000005</v>
      </c>
      <c r="Z37" s="54">
        <f>X37*D9</f>
        <v>21362.095817627142</v>
      </c>
      <c r="AA37" s="59">
        <f>Z37*D50*D40</f>
        <v>152393517.28247139</v>
      </c>
      <c r="AB37" s="59">
        <f>Z38*D50*D40</f>
        <v>116138607.92898025</v>
      </c>
      <c r="AC37" s="59">
        <f>Z39*D40*D50</f>
        <v>196833433.29000503</v>
      </c>
    </row>
    <row r="38" spans="2:29" x14ac:dyDescent="0.25">
      <c r="B38" s="83" t="s">
        <v>75</v>
      </c>
      <c r="C38" s="82"/>
      <c r="D38" s="82"/>
      <c r="E38" s="82"/>
      <c r="F38" s="82"/>
      <c r="G38" s="82"/>
      <c r="H38" s="84"/>
      <c r="I38" s="5" t="s">
        <v>20</v>
      </c>
      <c r="Y38" t="s">
        <v>62</v>
      </c>
      <c r="Z38" s="54">
        <f>X37*E9</f>
        <v>16279.984312627141</v>
      </c>
      <c r="AA38" s="59"/>
      <c r="AB38" s="59"/>
      <c r="AC38" s="59"/>
    </row>
    <row r="39" spans="2:29" x14ac:dyDescent="0.25">
      <c r="B39" s="63"/>
      <c r="C39" s="15" t="s">
        <v>173</v>
      </c>
      <c r="D39">
        <v>0.38100000000000001</v>
      </c>
      <c r="G39" s="38" t="s">
        <v>174</v>
      </c>
      <c r="H39" s="11"/>
      <c r="I39" s="5" t="s">
        <v>20</v>
      </c>
      <c r="Y39" t="s">
        <v>36</v>
      </c>
      <c r="Z39" s="54">
        <f>X37*F9</f>
        <v>27591.558597993258</v>
      </c>
      <c r="AA39" s="59"/>
      <c r="AB39" s="59"/>
      <c r="AC39" s="59"/>
    </row>
    <row r="40" spans="2:29" x14ac:dyDescent="0.25">
      <c r="B40" s="63"/>
      <c r="C40" s="15" t="s">
        <v>90</v>
      </c>
      <c r="D40">
        <v>22.49</v>
      </c>
      <c r="E40">
        <v>12.32</v>
      </c>
      <c r="F40">
        <v>27.05</v>
      </c>
      <c r="G40" s="38" t="s">
        <v>91</v>
      </c>
      <c r="H40" s="11"/>
      <c r="I40" s="5" t="s">
        <v>20</v>
      </c>
      <c r="AA40" s="59"/>
      <c r="AB40" s="59"/>
      <c r="AC40" s="59"/>
    </row>
    <row r="41" spans="2:29" x14ac:dyDescent="0.25">
      <c r="B41" s="60" t="s">
        <v>92</v>
      </c>
      <c r="C41" s="15" t="s">
        <v>175</v>
      </c>
      <c r="D41">
        <v>11.5</v>
      </c>
      <c r="G41" s="38" t="s">
        <v>176</v>
      </c>
      <c r="H41" s="11"/>
      <c r="I41" s="5" t="s">
        <v>20</v>
      </c>
      <c r="K41" s="46" t="s">
        <v>87</v>
      </c>
      <c r="L41" s="94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</row>
    <row r="42" spans="2:29" x14ac:dyDescent="0.25">
      <c r="B42" s="8"/>
      <c r="C42" s="15" t="s">
        <v>177</v>
      </c>
      <c r="D42">
        <v>0.8</v>
      </c>
      <c r="E42">
        <f>D42-0.4</f>
        <v>0.4</v>
      </c>
      <c r="F42">
        <f>D42+0.4</f>
        <v>1.2000000000000002</v>
      </c>
      <c r="G42" s="38" t="s">
        <v>94</v>
      </c>
      <c r="H42" s="11"/>
      <c r="I42" s="5" t="s">
        <v>20</v>
      </c>
      <c r="L42" s="87" t="s">
        <v>89</v>
      </c>
      <c r="M42">
        <f>D57</f>
        <v>15968</v>
      </c>
      <c r="N42" s="54">
        <f>M42-R42</f>
        <v>13377.191999999999</v>
      </c>
      <c r="O42" s="53">
        <f>D59</f>
        <v>4623805.8150000004</v>
      </c>
      <c r="P42">
        <f>N42/O42</f>
        <v>2.89311284583001E-3</v>
      </c>
      <c r="R42" s="54">
        <f>S42*D63</f>
        <v>2590.808</v>
      </c>
      <c r="S42" s="2">
        <f>D60</f>
        <v>289909.185</v>
      </c>
      <c r="T42">
        <f>R42/S42</f>
        <v>8.9366192381935047E-3</v>
      </c>
      <c r="V42">
        <f>T42-P42</f>
        <v>6.0435063923634947E-3</v>
      </c>
      <c r="X42" s="54">
        <f>V42*S42</f>
        <v>1752.068012752391</v>
      </c>
      <c r="Z42" s="54">
        <v>12052.4</v>
      </c>
      <c r="AA42" s="22">
        <f>Z42*D64</f>
        <v>563690748</v>
      </c>
      <c r="AB42" s="22">
        <f>Z43*D64</f>
        <v>429596480.99999994</v>
      </c>
      <c r="AC42" s="22">
        <f>Z44*D64</f>
        <v>728035851</v>
      </c>
    </row>
    <row r="43" spans="2:29" x14ac:dyDescent="0.25">
      <c r="B43" s="61"/>
      <c r="C43" s="15" t="s">
        <v>178</v>
      </c>
      <c r="D43">
        <f>D42*52</f>
        <v>41.6</v>
      </c>
      <c r="E43">
        <f>E42*52</f>
        <v>20.8</v>
      </c>
      <c r="F43">
        <f>F42*52</f>
        <v>62.400000000000006</v>
      </c>
      <c r="H43" s="11"/>
      <c r="I43" s="5" t="s">
        <v>20</v>
      </c>
      <c r="S43" s="2"/>
      <c r="Y43" t="s">
        <v>34</v>
      </c>
      <c r="Z43" s="54">
        <v>9185.2999999999993</v>
      </c>
      <c r="AA43" s="22"/>
    </row>
    <row r="44" spans="2:29" x14ac:dyDescent="0.25">
      <c r="B44" s="8"/>
      <c r="C44" s="15" t="s">
        <v>179</v>
      </c>
      <c r="D44">
        <f>D41*8</f>
        <v>92</v>
      </c>
      <c r="H44" s="11"/>
      <c r="I44" s="5" t="s">
        <v>20</v>
      </c>
      <c r="S44" s="2"/>
      <c r="Y44" t="s">
        <v>36</v>
      </c>
      <c r="Z44" s="54">
        <v>15566.3</v>
      </c>
      <c r="AA44" s="22"/>
    </row>
    <row r="45" spans="2:29" x14ac:dyDescent="0.25">
      <c r="B45" s="8"/>
      <c r="C45" s="15"/>
      <c r="G45" s="38"/>
      <c r="H45" s="11"/>
      <c r="I45" s="5" t="s">
        <v>20</v>
      </c>
      <c r="S45" s="2"/>
      <c r="Z45" s="54"/>
      <c r="AA45" s="22"/>
    </row>
    <row r="46" spans="2:29" ht="15" customHeight="1" x14ac:dyDescent="0.25">
      <c r="B46" s="8"/>
      <c r="C46" s="15" t="s">
        <v>180</v>
      </c>
      <c r="D46" s="187">
        <f>AVERAGE(D43,D44)</f>
        <v>66.8</v>
      </c>
      <c r="E46" s="187">
        <f t="shared" ref="E46:F46" si="1">AVERAGE(E43,E44)</f>
        <v>20.8</v>
      </c>
      <c r="F46" s="187">
        <f t="shared" si="1"/>
        <v>62.400000000000006</v>
      </c>
      <c r="G46" s="38"/>
      <c r="H46" s="11"/>
      <c r="I46" s="5" t="s">
        <v>20</v>
      </c>
      <c r="L46" s="87" t="s">
        <v>95</v>
      </c>
      <c r="M46">
        <v>17552</v>
      </c>
      <c r="S46" s="2"/>
      <c r="Z46" s="54"/>
      <c r="AA46" s="22"/>
    </row>
    <row r="47" spans="2:29" x14ac:dyDescent="0.25">
      <c r="B47" s="8"/>
      <c r="C47" s="15"/>
      <c r="D47" s="2"/>
      <c r="G47" s="38"/>
      <c r="H47" s="11"/>
      <c r="I47" s="5" t="s">
        <v>20</v>
      </c>
      <c r="S47" s="2"/>
      <c r="X47">
        <v>17552</v>
      </c>
      <c r="Z47" s="54">
        <f>X47*D9</f>
        <v>9222.2372881355914</v>
      </c>
      <c r="AA47" s="22">
        <f>Z47*D64</f>
        <v>431324037.96610159</v>
      </c>
      <c r="AB47" s="22">
        <f>Z48*D64</f>
        <v>627172978.56000006</v>
      </c>
      <c r="AC47" s="22">
        <f>Z49*D64</f>
        <v>820907040</v>
      </c>
    </row>
    <row r="48" spans="2:29" x14ac:dyDescent="0.25">
      <c r="B48" s="8"/>
      <c r="C48" s="15"/>
      <c r="D48" s="2"/>
      <c r="G48" s="38"/>
      <c r="H48" s="11"/>
      <c r="I48" s="5" t="s">
        <v>20</v>
      </c>
      <c r="S48" s="2"/>
      <c r="Y48" t="s">
        <v>62</v>
      </c>
      <c r="Z48" s="13">
        <f>X47*(1.528/2)</f>
        <v>13409.728000000001</v>
      </c>
      <c r="AA48" s="22"/>
    </row>
    <row r="49" spans="2:29" x14ac:dyDescent="0.25">
      <c r="B49" s="60" t="s">
        <v>98</v>
      </c>
      <c r="C49" s="15" t="s">
        <v>181</v>
      </c>
      <c r="D49">
        <v>6.1</v>
      </c>
      <c r="E49">
        <f>D49-1.3</f>
        <v>4.8</v>
      </c>
      <c r="F49">
        <f>D49+1.3</f>
        <v>7.3999999999999995</v>
      </c>
      <c r="G49" s="38" t="s">
        <v>94</v>
      </c>
      <c r="H49" s="11"/>
      <c r="I49" s="5" t="s">
        <v>20</v>
      </c>
      <c r="S49" s="2"/>
      <c r="Y49" t="s">
        <v>36</v>
      </c>
      <c r="Z49">
        <f>X47</f>
        <v>17552</v>
      </c>
      <c r="AA49" s="22"/>
    </row>
    <row r="50" spans="2:29" x14ac:dyDescent="0.25">
      <c r="B50" s="61"/>
      <c r="C50" s="15" t="s">
        <v>182</v>
      </c>
      <c r="D50" s="2">
        <f>D49*52</f>
        <v>317.2</v>
      </c>
      <c r="E50">
        <v>187.2</v>
      </c>
      <c r="F50">
        <v>452.4</v>
      </c>
      <c r="G50" s="38"/>
      <c r="H50" s="11"/>
      <c r="I50" s="5" t="s">
        <v>20</v>
      </c>
      <c r="S50" s="2"/>
      <c r="AA50" s="22"/>
    </row>
    <row r="51" spans="2:29" x14ac:dyDescent="0.25">
      <c r="B51" s="61"/>
      <c r="C51" s="15"/>
      <c r="D51" s="2"/>
      <c r="G51" s="38"/>
      <c r="H51" s="11"/>
      <c r="I51" s="5" t="s">
        <v>20</v>
      </c>
    </row>
    <row r="52" spans="2:29" x14ac:dyDescent="0.25">
      <c r="B52" s="61"/>
      <c r="C52" s="15"/>
      <c r="D52" s="2"/>
      <c r="G52" s="38"/>
      <c r="H52" s="11"/>
      <c r="I52" s="5" t="s">
        <v>20</v>
      </c>
      <c r="K52" s="47" t="s">
        <v>99</v>
      </c>
      <c r="L52" s="95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</row>
    <row r="53" spans="2:29" ht="28.5" customHeight="1" x14ac:dyDescent="0.25">
      <c r="B53" s="8"/>
      <c r="H53" s="11"/>
      <c r="I53" s="5" t="s">
        <v>20</v>
      </c>
      <c r="L53" s="87" t="s">
        <v>101</v>
      </c>
      <c r="X53">
        <f>D76</f>
        <v>46606</v>
      </c>
      <c r="Z53" s="53">
        <f>X53*D9</f>
        <v>24487.898305084742</v>
      </c>
      <c r="AA53" s="22">
        <f>Z53*D72*D75</f>
        <v>211921994.09274572</v>
      </c>
      <c r="AB53" s="22">
        <f>Z54*D72*D75</f>
        <v>161505068.07874578</v>
      </c>
      <c r="AC53" s="22">
        <f>Z55*D72*D75</f>
        <v>273721182.04753357</v>
      </c>
    </row>
    <row r="54" spans="2:29" x14ac:dyDescent="0.25">
      <c r="B54" s="51" t="s">
        <v>87</v>
      </c>
      <c r="C54" s="32"/>
      <c r="D54" s="32"/>
      <c r="E54" s="32"/>
      <c r="F54" s="32"/>
      <c r="G54" s="32"/>
      <c r="H54" s="41"/>
      <c r="I54" s="5" t="s">
        <v>20</v>
      </c>
      <c r="Y54" t="s">
        <v>34</v>
      </c>
      <c r="Z54" s="53">
        <f>X53*E9</f>
        <v>18662.148305084749</v>
      </c>
    </row>
    <row r="55" spans="2:29" x14ac:dyDescent="0.25">
      <c r="B55" s="63"/>
      <c r="C55" s="152" t="s">
        <v>183</v>
      </c>
      <c r="D55">
        <v>992</v>
      </c>
      <c r="H55" s="11"/>
      <c r="I55" s="5" t="s">
        <v>20</v>
      </c>
      <c r="Y55" t="s">
        <v>36</v>
      </c>
      <c r="Z55" s="53">
        <f>X53*F9</f>
        <v>31628.885423728818</v>
      </c>
    </row>
    <row r="56" spans="2:29" x14ac:dyDescent="0.25">
      <c r="B56" s="8"/>
      <c r="C56" s="15" t="s">
        <v>103</v>
      </c>
      <c r="D56">
        <v>17552</v>
      </c>
      <c r="E56">
        <v>11764</v>
      </c>
      <c r="F56">
        <v>32092</v>
      </c>
      <c r="G56" s="38" t="s">
        <v>104</v>
      </c>
      <c r="H56" s="11"/>
      <c r="I56" s="5" t="s">
        <v>20</v>
      </c>
      <c r="Z56" s="53"/>
    </row>
    <row r="57" spans="2:29" ht="45" x14ac:dyDescent="0.25">
      <c r="B57" s="8"/>
      <c r="C57" s="15" t="s">
        <v>184</v>
      </c>
      <c r="D57">
        <v>15968</v>
      </c>
      <c r="G57" s="38" t="s">
        <v>104</v>
      </c>
      <c r="H57" s="11"/>
      <c r="I57" s="5" t="s">
        <v>20</v>
      </c>
      <c r="L57" s="87" t="s">
        <v>105</v>
      </c>
      <c r="X57">
        <f>D76</f>
        <v>46606</v>
      </c>
      <c r="Z57" s="53">
        <f>X57*D9</f>
        <v>24487.898305084742</v>
      </c>
      <c r="AA57" s="59">
        <f>Z57*D78</f>
        <v>7811747.3060745755</v>
      </c>
      <c r="AB57" s="59">
        <f>Z58*D78</f>
        <v>5953307.4227745775</v>
      </c>
      <c r="AC57" s="59">
        <f>Z59*D78</f>
        <v>10089753.617265359</v>
      </c>
    </row>
    <row r="58" spans="2:29" ht="24.75" x14ac:dyDescent="0.25">
      <c r="B58" s="8"/>
      <c r="C58" s="15" t="s">
        <v>106</v>
      </c>
      <c r="D58">
        <f>C5-115285</f>
        <v>4913715</v>
      </c>
      <c r="G58" s="38" t="s">
        <v>107</v>
      </c>
      <c r="H58" s="11"/>
      <c r="I58" s="5" t="s">
        <v>20</v>
      </c>
      <c r="Y58" t="s">
        <v>34</v>
      </c>
      <c r="Z58" s="53">
        <f>X57*E9</f>
        <v>18662.148305084749</v>
      </c>
    </row>
    <row r="59" spans="2:29" x14ac:dyDescent="0.25">
      <c r="B59" s="8"/>
      <c r="C59" s="15" t="s">
        <v>185</v>
      </c>
      <c r="D59" s="53">
        <f>D58*D6/100</f>
        <v>4623805.8150000004</v>
      </c>
      <c r="E59" s="53">
        <f>D58*E6/100</f>
        <v>4535358.9450000003</v>
      </c>
      <c r="F59" s="53">
        <f>D58*F6/100</f>
        <v>4692597.8250000002</v>
      </c>
      <c r="G59" s="38"/>
      <c r="H59" s="11"/>
      <c r="I59" s="5" t="s">
        <v>20</v>
      </c>
      <c r="Y59" t="s">
        <v>36</v>
      </c>
      <c r="Z59" s="53">
        <f>X57*F9</f>
        <v>31628.885423728818</v>
      </c>
    </row>
    <row r="60" spans="2:29" ht="15" customHeight="1" x14ac:dyDescent="0.25">
      <c r="B60" s="8"/>
      <c r="C60" s="15" t="s">
        <v>186</v>
      </c>
      <c r="D60" s="53">
        <f>D58*D7/100</f>
        <v>289909.185</v>
      </c>
      <c r="E60" s="53">
        <f>D58*E7/100</f>
        <v>221117.17499999999</v>
      </c>
      <c r="F60" s="53">
        <f>D58*F7/100</f>
        <v>378356.05499999999</v>
      </c>
      <c r="G60" s="38"/>
      <c r="H60" s="11"/>
      <c r="I60" s="5" t="s">
        <v>20</v>
      </c>
    </row>
    <row r="61" spans="2:29" ht="24.75" x14ac:dyDescent="0.25">
      <c r="B61" s="62"/>
      <c r="C61" s="15" t="s">
        <v>187</v>
      </c>
      <c r="D61">
        <f>(2+3.5)/2</f>
        <v>2.75</v>
      </c>
      <c r="E61">
        <v>2</v>
      </c>
      <c r="F61">
        <v>3.5</v>
      </c>
      <c r="G61" s="38" t="s">
        <v>188</v>
      </c>
      <c r="H61" s="11"/>
      <c r="I61" s="11" t="s">
        <v>189</v>
      </c>
      <c r="J61" s="23" t="s">
        <v>111</v>
      </c>
      <c r="K61" s="28"/>
      <c r="L61" s="28"/>
      <c r="M61" s="28"/>
      <c r="N61" s="77"/>
      <c r="O61" s="28"/>
      <c r="P61" s="28"/>
      <c r="Q61" s="28"/>
      <c r="R61" s="77"/>
      <c r="S61" s="28"/>
      <c r="T61" s="28"/>
      <c r="U61" s="28"/>
      <c r="V61" s="28"/>
      <c r="W61" s="28"/>
      <c r="X61" s="65"/>
      <c r="Y61" s="28"/>
      <c r="Z61" s="65"/>
      <c r="AA61" s="69"/>
      <c r="AB61" s="69"/>
      <c r="AC61" s="69"/>
    </row>
    <row r="62" spans="2:29" ht="15.75" x14ac:dyDescent="0.25">
      <c r="B62" s="62"/>
      <c r="C62" s="15" t="s">
        <v>190</v>
      </c>
      <c r="D62" s="151">
        <f>M42/D58</f>
        <v>3.2496797229794564E-3</v>
      </c>
      <c r="G62" s="38" t="s">
        <v>113</v>
      </c>
      <c r="H62" s="11"/>
      <c r="I62" s="5" t="s">
        <v>20</v>
      </c>
      <c r="J62" s="109"/>
      <c r="K62" s="111" t="s">
        <v>114</v>
      </c>
      <c r="L62" s="112"/>
      <c r="M62" s="112"/>
      <c r="N62" s="113"/>
      <c r="O62" s="112"/>
      <c r="P62" s="112"/>
      <c r="Q62" s="112"/>
      <c r="R62" s="113"/>
      <c r="S62" s="112"/>
      <c r="T62" s="112"/>
      <c r="U62" s="112"/>
      <c r="V62" s="112"/>
      <c r="W62" s="112"/>
      <c r="X62" s="114"/>
      <c r="Y62" s="112"/>
      <c r="Z62" s="114"/>
      <c r="AA62" s="115"/>
      <c r="AB62" s="115"/>
      <c r="AC62" s="115"/>
    </row>
    <row r="63" spans="2:29" x14ac:dyDescent="0.25">
      <c r="B63" s="62"/>
      <c r="C63" s="15" t="s">
        <v>191</v>
      </c>
      <c r="D63" s="146">
        <f>D61*D62</f>
        <v>8.9366192381935047E-3</v>
      </c>
      <c r="E63" s="146">
        <f>E61*D62</f>
        <v>6.4993594459589127E-3</v>
      </c>
      <c r="F63" s="146">
        <f>F61*D62</f>
        <v>1.1373879030428097E-2</v>
      </c>
      <c r="G63" t="s">
        <v>116</v>
      </c>
      <c r="H63" s="11"/>
      <c r="I63" s="5" t="s">
        <v>20</v>
      </c>
      <c r="L63" s="87" t="s">
        <v>117</v>
      </c>
      <c r="X63">
        <f>D86*C7</f>
        <v>64824</v>
      </c>
      <c r="Z63" s="53">
        <f>X63*D9</f>
        <v>34060.067796610165</v>
      </c>
      <c r="AA63" s="22">
        <f>Z63*D85</f>
        <v>56086373.039999992</v>
      </c>
      <c r="AB63" s="22">
        <f>Z64*D85</f>
        <v>42743243.970000006</v>
      </c>
      <c r="AC63" s="22">
        <f>Z65*D85</f>
        <v>72441883.113600016</v>
      </c>
    </row>
    <row r="64" spans="2:29" x14ac:dyDescent="0.25">
      <c r="B64" s="62"/>
      <c r="C64" s="15" t="s">
        <v>78</v>
      </c>
      <c r="D64" s="40">
        <v>46770</v>
      </c>
      <c r="E64">
        <v>25620</v>
      </c>
      <c r="F64">
        <v>56250</v>
      </c>
      <c r="G64" s="38" t="s">
        <v>79</v>
      </c>
      <c r="H64" s="11"/>
      <c r="I64" s="5" t="s">
        <v>20</v>
      </c>
      <c r="Y64" t="s">
        <v>34</v>
      </c>
      <c r="Z64" s="53">
        <f>X63*E9</f>
        <v>25957.067796610172</v>
      </c>
    </row>
    <row r="65" spans="2:29" ht="26.45" customHeight="1" x14ac:dyDescent="0.25">
      <c r="B65" s="62"/>
      <c r="C65" s="15" t="s">
        <v>192</v>
      </c>
      <c r="D65" s="104">
        <f>X42*D9</f>
        <v>920.57810839532397</v>
      </c>
      <c r="G65" s="38"/>
      <c r="H65" s="11"/>
      <c r="I65" s="5" t="s">
        <v>20</v>
      </c>
      <c r="Y65" t="s">
        <v>36</v>
      </c>
      <c r="Z65" s="53">
        <f>X63*F9</f>
        <v>43992.423050847465</v>
      </c>
    </row>
    <row r="66" spans="2:29" ht="25.5" customHeight="1" x14ac:dyDescent="0.25">
      <c r="B66" s="62"/>
      <c r="C66" s="15" t="s">
        <v>193</v>
      </c>
      <c r="D66" s="104">
        <f>E9*X42</f>
        <v>701.56960680127531</v>
      </c>
      <c r="G66" s="38"/>
      <c r="H66" s="11"/>
      <c r="I66" s="5" t="s">
        <v>20</v>
      </c>
    </row>
    <row r="67" spans="2:29" ht="26.45" customHeight="1" x14ac:dyDescent="0.25">
      <c r="B67" s="62"/>
      <c r="C67" s="15" t="s">
        <v>194</v>
      </c>
      <c r="D67" s="104">
        <f>X42*F9</f>
        <v>1189.0305632306058</v>
      </c>
      <c r="G67" s="38"/>
      <c r="H67" s="11"/>
      <c r="I67" s="5" t="s">
        <v>20</v>
      </c>
      <c r="L67" s="102" t="s">
        <v>121</v>
      </c>
      <c r="X67">
        <f>C7*D89</f>
        <v>153032</v>
      </c>
      <c r="Z67" s="53">
        <f>X67*D9</f>
        <v>80406.644067796602</v>
      </c>
      <c r="AA67" s="22">
        <f>Z67*D88</f>
        <v>225088188.42399999</v>
      </c>
      <c r="AB67" s="22">
        <f>Z68*D88</f>
        <v>171538982.30700001</v>
      </c>
      <c r="AC67" s="22">
        <f>Z69*D88</f>
        <v>290726808.53216004</v>
      </c>
    </row>
    <row r="68" spans="2:29" ht="36.75" x14ac:dyDescent="0.25">
      <c r="B68" s="8"/>
      <c r="C68" s="15" t="s">
        <v>195</v>
      </c>
      <c r="G68" t="s">
        <v>123</v>
      </c>
      <c r="H68" s="11"/>
      <c r="I68" s="5" t="s">
        <v>20</v>
      </c>
      <c r="Y68" t="s">
        <v>34</v>
      </c>
      <c r="Z68" s="53">
        <f>X67*E9</f>
        <v>61277.644067796617</v>
      </c>
    </row>
    <row r="69" spans="2:29" x14ac:dyDescent="0.25">
      <c r="B69" s="8"/>
      <c r="C69" s="15"/>
      <c r="H69" s="11"/>
      <c r="I69" s="5" t="s">
        <v>20</v>
      </c>
      <c r="Y69" t="s">
        <v>36</v>
      </c>
      <c r="Z69" s="53">
        <f>X67*F9</f>
        <v>103854.25898305085</v>
      </c>
    </row>
    <row r="70" spans="2:29" x14ac:dyDescent="0.25">
      <c r="B70" s="52" t="s">
        <v>99</v>
      </c>
      <c r="C70" s="34"/>
      <c r="D70" s="34"/>
      <c r="E70" s="34"/>
      <c r="F70" s="34"/>
      <c r="G70" s="34"/>
      <c r="H70" s="42"/>
      <c r="I70" s="5" t="s">
        <v>20</v>
      </c>
    </row>
    <row r="71" spans="2:29" ht="30.75" customHeight="1" x14ac:dyDescent="0.25">
      <c r="B71" s="60" t="s">
        <v>124</v>
      </c>
      <c r="C71" s="15" t="s">
        <v>131</v>
      </c>
      <c r="D71">
        <v>7.4</v>
      </c>
      <c r="E71">
        <f>29-24.4</f>
        <v>4.6000000000000014</v>
      </c>
      <c r="F71">
        <f>40-24.4</f>
        <v>15.600000000000001</v>
      </c>
      <c r="G71" s="38" t="s">
        <v>126</v>
      </c>
      <c r="H71" s="163"/>
      <c r="I71" s="97" t="s">
        <v>196</v>
      </c>
      <c r="Z71" s="110" t="s">
        <v>127</v>
      </c>
      <c r="AA71" s="22">
        <f>SUM(AA8:AA70)</f>
        <v>1991159174.6526418</v>
      </c>
      <c r="AB71" s="22">
        <f>SUM(AB8:AB70)</f>
        <v>1815927884.8090165</v>
      </c>
      <c r="AC71" s="22">
        <f>SUM(AC8:AC70)</f>
        <v>2835575836.9035177</v>
      </c>
    </row>
    <row r="72" spans="2:29" x14ac:dyDescent="0.25">
      <c r="B72" s="8"/>
      <c r="C72" s="15" t="s">
        <v>132</v>
      </c>
      <c r="D72">
        <f>D71*52</f>
        <v>384.8</v>
      </c>
      <c r="E72">
        <f t="shared" ref="E72:F72" si="2">E71*52</f>
        <v>239.20000000000007</v>
      </c>
      <c r="F72">
        <f t="shared" si="2"/>
        <v>811.2</v>
      </c>
      <c r="G72" s="38"/>
      <c r="H72" s="163"/>
      <c r="I72" s="97" t="s">
        <v>20</v>
      </c>
    </row>
    <row r="73" spans="2:29" x14ac:dyDescent="0.25">
      <c r="B73" s="8"/>
      <c r="C73" s="15" t="s">
        <v>197</v>
      </c>
      <c r="D73">
        <v>0.75</v>
      </c>
      <c r="G73" s="38" t="s">
        <v>198</v>
      </c>
      <c r="H73" s="11"/>
      <c r="I73" s="97" t="s">
        <v>199</v>
      </c>
    </row>
    <row r="74" spans="2:29" x14ac:dyDescent="0.25">
      <c r="B74" s="8"/>
      <c r="C74" s="15" t="s">
        <v>134</v>
      </c>
      <c r="D74">
        <v>850000</v>
      </c>
      <c r="G74" s="38" t="s">
        <v>135</v>
      </c>
      <c r="H74" s="11"/>
      <c r="I74" s="97"/>
    </row>
    <row r="75" spans="2:29" x14ac:dyDescent="0.25">
      <c r="B75" s="8"/>
      <c r="C75" s="15" t="s">
        <v>90</v>
      </c>
      <c r="D75">
        <v>22.49</v>
      </c>
      <c r="E75">
        <v>12.32</v>
      </c>
      <c r="F75">
        <v>27.05</v>
      </c>
      <c r="G75" s="38" t="s">
        <v>91</v>
      </c>
      <c r="H75" s="11"/>
      <c r="I75" s="97" t="s">
        <v>166</v>
      </c>
    </row>
    <row r="76" spans="2:29" x14ac:dyDescent="0.25">
      <c r="B76" s="8"/>
      <c r="C76" s="15" t="s">
        <v>200</v>
      </c>
      <c r="D76">
        <v>46606</v>
      </c>
      <c r="H76" s="11"/>
      <c r="I76" s="97"/>
    </row>
    <row r="77" spans="2:29" ht="27.95" customHeight="1" x14ac:dyDescent="0.25">
      <c r="B77" s="8"/>
      <c r="H77" s="163"/>
      <c r="I77" s="97"/>
    </row>
    <row r="78" spans="2:29" ht="30" x14ac:dyDescent="0.25">
      <c r="B78" s="106" t="s">
        <v>137</v>
      </c>
      <c r="C78" s="150" t="s">
        <v>138</v>
      </c>
      <c r="D78" s="40">
        <f>AVERAGE(D79, D81, D80)*1.69*12</f>
        <v>319.00440000000003</v>
      </c>
      <c r="E78" s="40">
        <f t="shared" ref="E78:F78" si="3">AVERAGE(E79, E81, E80)*1.69*12</f>
        <v>142.77119999999999</v>
      </c>
      <c r="F78" s="40">
        <f t="shared" si="3"/>
        <v>176.23319999999998</v>
      </c>
      <c r="H78" s="163"/>
      <c r="I78" s="97"/>
    </row>
    <row r="79" spans="2:29" x14ac:dyDescent="0.25">
      <c r="B79" s="8"/>
      <c r="C79" s="15" t="s">
        <v>201</v>
      </c>
      <c r="D79">
        <f>SUM(E79+F79)</f>
        <v>19.5</v>
      </c>
      <c r="E79">
        <v>8.85</v>
      </c>
      <c r="F79">
        <v>10.65</v>
      </c>
      <c r="G79" s="38" t="s">
        <v>140</v>
      </c>
      <c r="H79" s="163"/>
      <c r="I79" s="97"/>
    </row>
    <row r="80" spans="2:29" x14ac:dyDescent="0.25">
      <c r="B80" s="8"/>
      <c r="C80" s="15" t="s">
        <v>202</v>
      </c>
      <c r="D80" s="13">
        <f>SUM(E80+F80)</f>
        <v>9.99</v>
      </c>
      <c r="E80">
        <v>4.03</v>
      </c>
      <c r="F80">
        <v>5.96</v>
      </c>
      <c r="G80" s="38" t="s">
        <v>140</v>
      </c>
      <c r="H80" s="163"/>
      <c r="I80" s="97"/>
    </row>
    <row r="81" spans="2:9" x14ac:dyDescent="0.25">
      <c r="B81" s="8"/>
      <c r="C81" s="152" t="s">
        <v>203</v>
      </c>
      <c r="D81">
        <f>SUM(E81+F81)</f>
        <v>17.700000000000003</v>
      </c>
      <c r="E81">
        <v>8.24</v>
      </c>
      <c r="F81">
        <v>9.4600000000000009</v>
      </c>
      <c r="G81" s="38" t="s">
        <v>140</v>
      </c>
      <c r="H81" s="163"/>
      <c r="I81" s="97"/>
    </row>
    <row r="82" spans="2:9" x14ac:dyDescent="0.25">
      <c r="B82" s="8"/>
      <c r="C82" s="152"/>
      <c r="G82" s="38"/>
      <c r="H82" s="163"/>
      <c r="I82" s="97"/>
    </row>
    <row r="83" spans="2:9" x14ac:dyDescent="0.25">
      <c r="B83" s="108" t="s">
        <v>141</v>
      </c>
      <c r="C83" s="153"/>
      <c r="D83" s="154"/>
      <c r="E83" s="154"/>
      <c r="F83" s="154"/>
      <c r="G83" s="139"/>
      <c r="H83" s="107"/>
      <c r="I83" s="5" t="s">
        <v>20</v>
      </c>
    </row>
    <row r="84" spans="2:9" x14ac:dyDescent="0.25">
      <c r="B84" s="116" t="s">
        <v>142</v>
      </c>
      <c r="C84" s="117"/>
      <c r="D84" s="117"/>
      <c r="E84" s="117"/>
      <c r="F84" s="117"/>
      <c r="G84" s="117"/>
      <c r="H84" s="118"/>
      <c r="I84" s="5" t="s">
        <v>20</v>
      </c>
    </row>
    <row r="85" spans="2:9" ht="30" x14ac:dyDescent="0.25">
      <c r="B85" s="60" t="s">
        <v>204</v>
      </c>
      <c r="C85" s="6" t="s">
        <v>205</v>
      </c>
      <c r="D85" s="40">
        <v>1646.69</v>
      </c>
      <c r="H85" s="11"/>
      <c r="I85" s="5" t="s">
        <v>20</v>
      </c>
    </row>
    <row r="86" spans="2:9" x14ac:dyDescent="0.25">
      <c r="B86" s="60"/>
      <c r="C86" t="s">
        <v>206</v>
      </c>
      <c r="D86">
        <v>0.219</v>
      </c>
      <c r="E86">
        <v>0.13500000000000001</v>
      </c>
      <c r="F86">
        <v>0.33600000000000002</v>
      </c>
      <c r="G86" s="38" t="s">
        <v>207</v>
      </c>
      <c r="H86" s="11"/>
      <c r="I86" s="5" t="s">
        <v>20</v>
      </c>
    </row>
    <row r="87" spans="2:9" x14ac:dyDescent="0.25">
      <c r="B87" s="60"/>
      <c r="G87" s="38"/>
      <c r="H87" s="11"/>
      <c r="I87" s="5" t="s">
        <v>20</v>
      </c>
    </row>
    <row r="88" spans="2:9" ht="30" x14ac:dyDescent="0.25">
      <c r="B88" s="60" t="s">
        <v>208</v>
      </c>
      <c r="C88" s="6" t="s">
        <v>209</v>
      </c>
      <c r="D88" s="40">
        <f>D85*1.7</f>
        <v>2799.373</v>
      </c>
      <c r="E88" s="22">
        <f>D85*1.1</f>
        <v>1811.3590000000002</v>
      </c>
      <c r="F88" s="22">
        <f>D85*2.1</f>
        <v>3458.0490000000004</v>
      </c>
      <c r="G88" s="38" t="s">
        <v>147</v>
      </c>
      <c r="H88" s="163"/>
      <c r="I88" s="5" t="s">
        <v>20</v>
      </c>
    </row>
    <row r="89" spans="2:9" ht="15.75" thickBot="1" x14ac:dyDescent="0.3">
      <c r="B89" s="20"/>
      <c r="C89" s="21" t="s">
        <v>210</v>
      </c>
      <c r="D89" s="21">
        <v>0.51700000000000002</v>
      </c>
      <c r="E89" s="21">
        <v>0.38400000000000001</v>
      </c>
      <c r="F89" s="21">
        <v>0.64700000000000002</v>
      </c>
      <c r="G89" s="140" t="s">
        <v>211</v>
      </c>
      <c r="H89" s="165"/>
      <c r="I89" s="5" t="s">
        <v>20</v>
      </c>
    </row>
    <row r="90" spans="2:9" x14ac:dyDescent="0.25">
      <c r="I90" s="5" t="s">
        <v>20</v>
      </c>
    </row>
    <row r="93" spans="2:9" x14ac:dyDescent="0.25">
      <c r="C93" t="s">
        <v>151</v>
      </c>
    </row>
    <row r="97" spans="10:10" x14ac:dyDescent="0.25">
      <c r="J97" s="27"/>
    </row>
  </sheetData>
  <mergeCells count="3">
    <mergeCell ref="B2:G3"/>
    <mergeCell ref="F12:G12"/>
    <mergeCell ref="J2:AC3"/>
  </mergeCells>
  <hyperlinks>
    <hyperlink ref="G22" r:id="rId1" display="https://www.nationalhomeless.org/factsheets/Mental_Illness.pdf;  " xr:uid="{6F41D64D-71E6-46E0-862F-5EDE51FA9404}"/>
    <hyperlink ref="G24" r:id="rId2" xr:uid="{7498DA0A-ABF6-4F8A-B447-4AA8EF0EAB62}"/>
    <hyperlink ref="G13" r:id="rId3" xr:uid="{8219A0E4-965C-4F15-A4C1-94761568EF7E}"/>
    <hyperlink ref="G17" r:id="rId4" xr:uid="{992FA248-37BA-4E4E-BCCF-96E0E3202295}"/>
    <hyperlink ref="G15" r:id="rId5" xr:uid="{19156B95-693C-4ADF-A465-11F6AE3942EE}"/>
    <hyperlink ref="G18" r:id="rId6" xr:uid="{BB8BBEE0-2A3D-461B-BBF1-DD803DA264CE}"/>
    <hyperlink ref="G14" r:id="rId7" xr:uid="{BCA461C8-D245-44A5-8FFA-B5A5518A877D}"/>
    <hyperlink ref="G19" r:id="rId8" display="https://bjs.ojp.gov/content/pub/pdf/tssp18.pdf" xr:uid="{F11EED9A-4948-4964-9DD7-F65D4C9C9B0A}"/>
    <hyperlink ref="AE8" r:id="rId9" xr:uid="{3B288AB6-DCC9-4A7A-9E18-EF7D279F7479}"/>
    <hyperlink ref="AE12" r:id="rId10" display="https://nicic.gov/state-statistics/2019/indiana-2019" xr:uid="{A2CDAAC0-5CE5-4FC2-A657-492421BC7BCE}"/>
    <hyperlink ref="AE17" r:id="rId11" xr:uid="{AF088B28-DFAE-4A7C-90CF-9036D7BA6092}"/>
    <hyperlink ref="G56" r:id="rId12" xr:uid="{9914A78E-9E7D-4B3B-9D7E-998F1FA707E3}"/>
    <hyperlink ref="G57" r:id="rId13" xr:uid="{E6551B26-3417-464F-9A87-281A37A65CC8}"/>
    <hyperlink ref="G75" r:id="rId14" display="https://www.bls.gov/oes/2019/may/oes_in.htm" xr:uid="{F69979A7-2F40-4E3D-B2BE-4F84F073BF9C}"/>
    <hyperlink ref="G73" r:id="rId15" xr:uid="{0063AC08-A8E6-4F28-AE70-10D0C11BEB36}"/>
    <hyperlink ref="G71" r:id="rId16" xr:uid="{225D204F-3C30-4EB3-8626-E8D79ED9992C}"/>
    <hyperlink ref="G74" r:id="rId17" xr:uid="{527FED5F-0F90-44A5-881C-A8D481AF4097}"/>
    <hyperlink ref="G79" r:id="rId18" xr:uid="{B4F4AE63-AEE3-4E53-8643-68819123FCD1}"/>
    <hyperlink ref="G80" r:id="rId19" xr:uid="{D912D9A3-5184-4F77-A446-22CFEBB29D74}"/>
    <hyperlink ref="G81" r:id="rId20" xr:uid="{A2F1DE2E-7DD3-4394-9952-5085D378EC5F}"/>
    <hyperlink ref="G41" r:id="rId21" xr:uid="{EAAC91E1-9591-4944-86D0-B9AD70548212}"/>
    <hyperlink ref="G42" r:id="rId22" display="https://pubmed.ncbi.nlm.nih.gov/12813119/" xr:uid="{222FE58B-4FDA-49ED-845E-2919856E37E6}"/>
    <hyperlink ref="G49" r:id="rId23" display="https://pubmed.ncbi.nlm.nih.gov/12813119/" xr:uid="{D53C80AA-92C6-47C4-A6F7-1E3EA711B493}"/>
    <hyperlink ref="G40" r:id="rId24" display="https://www.bls.gov/oes/2019/may/oes_in.htm" xr:uid="{7A16F395-199E-4687-8F65-DE16DCC9C7D5}"/>
    <hyperlink ref="G39" r:id="rId25" xr:uid="{A12B2AA2-3C3F-4AED-B720-4AA0A014C1B3}"/>
    <hyperlink ref="AE27" r:id="rId26" xr:uid="{81E23FAD-99E4-44B1-9C15-2FACEBA28D04}"/>
    <hyperlink ref="G32" r:id="rId27" xr:uid="{9398A257-1634-41DD-BEBA-5DE9DEA81101}"/>
    <hyperlink ref="G64" r:id="rId28" xr:uid="{81458D98-2611-4B6F-A563-692E5DFDCF10}"/>
    <hyperlink ref="G31" r:id="rId29" xr:uid="{EFD78264-91C2-4012-8305-C244930DE231}"/>
    <hyperlink ref="G30" r:id="rId30" location="/ " xr:uid="{7B1061C7-C28C-4864-AA72-35ADF63322A6}"/>
    <hyperlink ref="G61" r:id="rId31" location=":~:text=Results%3A%20Almost%2011%25%20of%20the,and%20unnatural%20causes%20for%2014%25" xr:uid="{CCD9A087-6315-4C84-96C8-939B55A5F6CA}"/>
    <hyperlink ref="G86" r:id="rId32" location="/survey/NSDUH-2018-2019-RD02YR?column=SMIYR_U&amp;control=STATE&amp;filter=STATE%3D18&amp;results_received=true&amp;row=CAIDCHIP&amp;run_chisq=false&amp;weight=DASWT_1 " xr:uid="{74E98F27-9811-4533-BBAA-89CE44DCCF73}"/>
    <hyperlink ref="G89" r:id="rId33" location="/survey/NSDUH-2018-2019-RD02YR?column=SMIYR_U&amp;control=STATE&amp;filter=STATE%3D18&amp;results_received=true&amp;row=PRVHLTIN&amp;run_chisq=false&amp;weight=DASWT_1 " xr:uid="{EC4E5240-A59A-4EA9-AAF5-5FF86C03DD1C}"/>
    <hyperlink ref="G7" r:id="rId34" location="/ " xr:uid="{E78262DC-C06B-4C0D-A279-016560588067}"/>
    <hyperlink ref="G6" r:id="rId35" location="/ " xr:uid="{2CCCAF8D-B96D-44D5-9C71-1DC369D97D19}"/>
    <hyperlink ref="G58" r:id="rId36" xr:uid="{1CFC4227-C6BA-4B99-B339-55F1672BBCEB}"/>
    <hyperlink ref="G62" r:id="rId37" xr:uid="{69F5A01A-318C-4134-B8F4-D2DA3F1A78B3}"/>
    <hyperlink ref="G26" r:id="rId38" location=":~:text=Chronic%20homelessness%20is%20used%20to,use%20disorder%2C%20or%20physical%20disability. " xr:uid="{20A9ED38-4676-4EE1-9EFC-9E31D9AE6958}"/>
    <hyperlink ref="G23" r:id="rId39" xr:uid="{AF0D65C0-E28A-4095-8C56-F7B969C89EB6}"/>
  </hyperlinks>
  <pageMargins left="0.7" right="0.7" top="0.75" bottom="0.75" header="0.3" footer="0.3"/>
  <pageSetup orientation="portrait" r:id="rId4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3C2AB-7062-47E6-8329-295D9401B960}">
  <dimension ref="B1:AE88"/>
  <sheetViews>
    <sheetView zoomScale="70" zoomScaleNormal="70" workbookViewId="0">
      <selection activeCell="H1" sqref="H1:H1048576"/>
    </sheetView>
  </sheetViews>
  <sheetFormatPr defaultRowHeight="15" x14ac:dyDescent="0.25"/>
  <cols>
    <col min="2" max="2" width="34.5703125" customWidth="1"/>
    <col min="3" max="3" width="36.28515625" customWidth="1"/>
    <col min="4" max="4" width="15.85546875" customWidth="1"/>
    <col min="5" max="6" width="10.85546875" bestFit="1" customWidth="1"/>
    <col min="7" max="8" width="25.140625" customWidth="1"/>
    <col min="10" max="10" width="19" customWidth="1"/>
    <col min="11" max="11" width="32.7109375" bestFit="1" customWidth="1"/>
    <col min="12" max="12" width="21.85546875" bestFit="1" customWidth="1"/>
    <col min="13" max="13" width="16.42578125" customWidth="1"/>
    <col min="14" max="14" width="13" customWidth="1"/>
    <col min="15" max="15" width="11.85546875" customWidth="1"/>
    <col min="16" max="16" width="12.5703125" customWidth="1"/>
    <col min="18" max="18" width="12.7109375" customWidth="1"/>
    <col min="19" max="20" width="10.85546875" customWidth="1"/>
    <col min="24" max="24" width="13.85546875" customWidth="1"/>
    <col min="26" max="26" width="26.140625" customWidth="1"/>
    <col min="27" max="27" width="24.140625" customWidth="1"/>
    <col min="28" max="29" width="21.7109375" bestFit="1" customWidth="1"/>
    <col min="31" max="31" width="16.85546875" customWidth="1"/>
  </cols>
  <sheetData>
    <row r="1" spans="2:31" ht="15.75" thickBot="1" x14ac:dyDescent="0.3"/>
    <row r="2" spans="2:31" ht="15" customHeight="1" x14ac:dyDescent="0.25">
      <c r="B2" s="188" t="s">
        <v>0</v>
      </c>
      <c r="C2" s="189"/>
      <c r="D2" s="189"/>
      <c r="E2" s="189"/>
      <c r="F2" s="189"/>
      <c r="G2" s="189"/>
      <c r="H2" s="141"/>
      <c r="J2" s="191" t="s">
        <v>1</v>
      </c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</row>
    <row r="3" spans="2:31" ht="14.45" customHeight="1" x14ac:dyDescent="0.25">
      <c r="B3" s="190"/>
      <c r="C3" s="191"/>
      <c r="D3" s="191"/>
      <c r="E3" s="191"/>
      <c r="F3" s="191"/>
      <c r="G3" s="191"/>
      <c r="H3" s="142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</row>
    <row r="4" spans="2:31" x14ac:dyDescent="0.25">
      <c r="B4" s="8"/>
      <c r="C4" s="145" t="s">
        <v>2</v>
      </c>
      <c r="D4" s="145" t="s">
        <v>3</v>
      </c>
      <c r="E4" s="145" t="s">
        <v>4</v>
      </c>
      <c r="F4" s="145" t="s">
        <v>5</v>
      </c>
      <c r="G4" s="145" t="s">
        <v>212</v>
      </c>
      <c r="H4" s="9"/>
    </row>
    <row r="5" spans="2:31" ht="42" customHeight="1" x14ac:dyDescent="0.25">
      <c r="B5" s="10" t="s">
        <v>213</v>
      </c>
      <c r="C5">
        <v>1150105</v>
      </c>
      <c r="G5" s="38" t="s">
        <v>214</v>
      </c>
      <c r="H5" s="39"/>
      <c r="I5" s="5" t="s">
        <v>20</v>
      </c>
      <c r="J5" s="23" t="s">
        <v>29</v>
      </c>
      <c r="K5" s="23"/>
      <c r="L5" s="23"/>
      <c r="M5" s="23"/>
      <c r="N5" s="23" t="s">
        <v>8</v>
      </c>
      <c r="O5" s="23" t="s">
        <v>8</v>
      </c>
      <c r="P5" s="23" t="s">
        <v>9</v>
      </c>
      <c r="Q5" s="23"/>
      <c r="R5" s="23" t="s">
        <v>10</v>
      </c>
      <c r="S5" s="23" t="s">
        <v>10</v>
      </c>
      <c r="T5" s="23" t="s">
        <v>11</v>
      </c>
      <c r="U5" s="23"/>
      <c r="V5" s="23" t="s">
        <v>12</v>
      </c>
      <c r="W5" s="23"/>
      <c r="X5" s="23" t="s">
        <v>13</v>
      </c>
      <c r="Y5" s="23"/>
      <c r="Z5" s="23" t="s">
        <v>14</v>
      </c>
      <c r="AA5" s="23" t="s">
        <v>15</v>
      </c>
      <c r="AB5" s="23" t="s">
        <v>16</v>
      </c>
      <c r="AC5" s="23" t="s">
        <v>17</v>
      </c>
      <c r="AE5" s="23" t="s">
        <v>6</v>
      </c>
    </row>
    <row r="6" spans="2:31" ht="36" customHeight="1" x14ac:dyDescent="0.25">
      <c r="B6" s="10" t="s">
        <v>215</v>
      </c>
      <c r="C6" s="53">
        <f>C5*D6</f>
        <v>852227.80499999993</v>
      </c>
      <c r="D6">
        <v>0.74099999999999999</v>
      </c>
      <c r="E6">
        <v>0.70499999999999996</v>
      </c>
      <c r="F6">
        <v>0.77400000000000002</v>
      </c>
      <c r="G6" s="138" t="s">
        <v>216</v>
      </c>
      <c r="H6" s="12"/>
      <c r="I6" s="5" t="s">
        <v>20</v>
      </c>
      <c r="J6" s="6"/>
      <c r="K6" s="6"/>
      <c r="L6" s="6"/>
      <c r="M6" s="6" t="s">
        <v>21</v>
      </c>
      <c r="N6" s="7" t="s">
        <v>22</v>
      </c>
      <c r="O6" s="7" t="s">
        <v>23</v>
      </c>
      <c r="P6" s="7" t="s">
        <v>24</v>
      </c>
      <c r="Q6" s="7"/>
      <c r="R6" s="7" t="s">
        <v>25</v>
      </c>
      <c r="S6" s="7" t="s">
        <v>26</v>
      </c>
      <c r="T6" s="7" t="s">
        <v>27</v>
      </c>
      <c r="U6" s="6"/>
      <c r="V6" s="6"/>
      <c r="W6" s="6"/>
      <c r="X6" s="6"/>
      <c r="Y6" s="6"/>
      <c r="Z6" s="6"/>
      <c r="AA6" s="6"/>
    </row>
    <row r="7" spans="2:31" ht="15" customHeight="1" x14ac:dyDescent="0.25">
      <c r="B7" s="10" t="s">
        <v>217</v>
      </c>
      <c r="C7" s="2">
        <f>C5*D7</f>
        <v>297877.19500000001</v>
      </c>
      <c r="D7">
        <v>0.25900000000000001</v>
      </c>
      <c r="E7">
        <v>0.22600000000000001</v>
      </c>
      <c r="F7">
        <v>0.29499999999999998</v>
      </c>
      <c r="G7" s="138" t="s">
        <v>216</v>
      </c>
      <c r="H7" s="12"/>
      <c r="I7" s="5" t="s">
        <v>20</v>
      </c>
      <c r="K7" s="43" t="s">
        <v>30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2:31" x14ac:dyDescent="0.25">
      <c r="B8" s="10" t="s">
        <v>39</v>
      </c>
      <c r="D8" s="146">
        <v>4.1000000000000002E-2</v>
      </c>
      <c r="E8" s="146">
        <v>2.3E-2</v>
      </c>
      <c r="F8" s="146">
        <v>7.0999999999999994E-2</v>
      </c>
      <c r="G8" s="38" t="s">
        <v>218</v>
      </c>
      <c r="H8" s="39"/>
      <c r="I8" s="5" t="s">
        <v>219</v>
      </c>
      <c r="L8" t="s">
        <v>220</v>
      </c>
      <c r="M8">
        <v>388</v>
      </c>
      <c r="N8" s="53">
        <f>((1-D13)*M8)</f>
        <v>116.40000000000002</v>
      </c>
      <c r="O8" s="53">
        <f>C6</f>
        <v>852227.80499999993</v>
      </c>
      <c r="P8">
        <f>N8/O8</f>
        <v>1.3658319913652668E-4</v>
      </c>
      <c r="R8" s="53">
        <f>D13*M8</f>
        <v>271.59999999999997</v>
      </c>
      <c r="S8" s="2">
        <f>C7</f>
        <v>297877.19500000001</v>
      </c>
      <c r="T8">
        <f>R8/S8</f>
        <v>9.1178514018167771E-4</v>
      </c>
      <c r="V8">
        <f>T8-P8</f>
        <v>7.7520194104515098E-4</v>
      </c>
      <c r="X8" s="54">
        <f>V8*S8</f>
        <v>230.91497975708495</v>
      </c>
      <c r="Z8" s="54">
        <f>X8*D9</f>
        <v>36.554108764635068</v>
      </c>
      <c r="AA8" s="59">
        <f>Z8*D14*D15</f>
        <v>2036473.2642083373</v>
      </c>
      <c r="AB8" s="59">
        <f>Z9*D14*D15</f>
        <v>1309224.1781663138</v>
      </c>
      <c r="AC8" s="59">
        <f>Z11*D15*D14</f>
        <v>3096213.8780923616</v>
      </c>
      <c r="AE8" s="27" t="s">
        <v>221</v>
      </c>
    </row>
    <row r="9" spans="2:31" x14ac:dyDescent="0.25">
      <c r="B9" s="10"/>
      <c r="D9" s="56">
        <f>D8/D7</f>
        <v>0.15830115830115829</v>
      </c>
      <c r="E9" s="13">
        <f>E8/E7</f>
        <v>0.10176991150442477</v>
      </c>
      <c r="F9" s="13">
        <f>F8/F7</f>
        <v>0.2406779661016949</v>
      </c>
      <c r="G9" s="38"/>
      <c r="H9" s="39"/>
      <c r="I9" s="97"/>
      <c r="N9" s="53"/>
      <c r="R9" s="53"/>
      <c r="X9" s="54"/>
      <c r="Y9" t="s">
        <v>34</v>
      </c>
      <c r="Z9" s="54">
        <f>X8*E9</f>
        <v>23.500197054924573</v>
      </c>
      <c r="AA9" s="59"/>
      <c r="AB9" s="59"/>
      <c r="AC9" s="59"/>
      <c r="AE9" s="27"/>
    </row>
    <row r="10" spans="2:31" x14ac:dyDescent="0.25">
      <c r="B10" s="10" t="s">
        <v>222</v>
      </c>
      <c r="D10" s="173">
        <f>C7*D9</f>
        <v>47154.305</v>
      </c>
      <c r="E10" s="173">
        <f>C7*E9</f>
        <v>30314.935774336282</v>
      </c>
      <c r="F10" s="173">
        <f>C7*F9</f>
        <v>71692.477440677962</v>
      </c>
      <c r="G10" s="38"/>
      <c r="H10" s="11"/>
      <c r="I10" s="97"/>
      <c r="N10" s="53"/>
      <c r="R10" s="53"/>
      <c r="X10" s="54"/>
      <c r="Z10" s="54"/>
      <c r="AA10" s="59"/>
      <c r="AB10" s="59"/>
      <c r="AC10" s="59"/>
      <c r="AE10" s="27"/>
    </row>
    <row r="11" spans="2:31" x14ac:dyDescent="0.25">
      <c r="B11" s="26" t="s">
        <v>29</v>
      </c>
      <c r="C11" s="24"/>
      <c r="D11" s="24"/>
      <c r="E11" s="24"/>
      <c r="F11" s="24"/>
      <c r="G11" s="24"/>
      <c r="H11" s="25"/>
      <c r="I11" s="5" t="s">
        <v>20</v>
      </c>
      <c r="N11" s="53"/>
      <c r="R11" s="53"/>
      <c r="X11" s="54"/>
      <c r="Y11" t="s">
        <v>36</v>
      </c>
      <c r="Z11" s="54">
        <f>X8*F9</f>
        <v>55.576147670349258</v>
      </c>
      <c r="AA11" s="59"/>
      <c r="AB11" s="59"/>
      <c r="AC11" s="59"/>
      <c r="AE11" s="27"/>
    </row>
    <row r="12" spans="2:31" x14ac:dyDescent="0.25">
      <c r="B12" s="48" t="s">
        <v>43</v>
      </c>
      <c r="C12" s="3"/>
      <c r="D12" s="3"/>
      <c r="E12" s="3"/>
      <c r="F12" s="192"/>
      <c r="G12" s="192"/>
      <c r="H12" s="143"/>
      <c r="I12" s="5" t="s">
        <v>20</v>
      </c>
      <c r="N12" s="53"/>
      <c r="R12" s="53"/>
      <c r="X12" s="54"/>
      <c r="Z12" s="54"/>
      <c r="AA12" s="59"/>
      <c r="AB12" s="59"/>
      <c r="AC12" s="59"/>
      <c r="AE12" s="27"/>
    </row>
    <row r="13" spans="2:31" x14ac:dyDescent="0.25">
      <c r="B13" s="14" t="s">
        <v>223</v>
      </c>
      <c r="C13" s="15" t="s">
        <v>46</v>
      </c>
      <c r="D13" s="13">
        <v>0.7</v>
      </c>
      <c r="E13">
        <v>0.63</v>
      </c>
      <c r="F13">
        <v>0.72</v>
      </c>
      <c r="G13" s="138" t="s">
        <v>224</v>
      </c>
      <c r="H13" s="11"/>
      <c r="I13" s="5" t="s">
        <v>20</v>
      </c>
      <c r="J13" s="198" t="s">
        <v>65</v>
      </c>
      <c r="K13" s="198"/>
      <c r="L13" s="198"/>
      <c r="M13" s="198"/>
      <c r="N13" s="198"/>
      <c r="O13" s="198"/>
      <c r="P13" s="198"/>
      <c r="Q13" s="198"/>
      <c r="R13" s="198"/>
      <c r="S13" s="198"/>
      <c r="T13" s="198"/>
      <c r="U13" s="198"/>
      <c r="V13" s="198"/>
      <c r="W13" s="198"/>
      <c r="X13" s="198"/>
      <c r="Y13" s="198"/>
      <c r="Z13" s="198"/>
      <c r="AA13" s="198"/>
      <c r="AB13" s="198"/>
      <c r="AC13" s="198"/>
      <c r="AE13" s="27"/>
    </row>
    <row r="14" spans="2:31" x14ac:dyDescent="0.25">
      <c r="B14" s="8"/>
      <c r="C14" s="147" t="s">
        <v>225</v>
      </c>
      <c r="D14" s="16">
        <v>232.13</v>
      </c>
      <c r="G14" s="138" t="s">
        <v>226</v>
      </c>
      <c r="H14" s="11"/>
      <c r="I14" s="5" t="s">
        <v>20</v>
      </c>
      <c r="K14" s="195" t="s">
        <v>227</v>
      </c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E14" s="27"/>
    </row>
    <row r="15" spans="2:31" ht="24.75" x14ac:dyDescent="0.25">
      <c r="B15" s="8"/>
      <c r="C15" s="15" t="s">
        <v>228</v>
      </c>
      <c r="D15">
        <f>8*30</f>
        <v>240</v>
      </c>
      <c r="G15" s="38" t="s">
        <v>229</v>
      </c>
      <c r="H15" s="11"/>
      <c r="I15" s="5" t="s">
        <v>20</v>
      </c>
      <c r="L15" t="s">
        <v>230</v>
      </c>
      <c r="N15" s="53"/>
      <c r="R15" s="53"/>
      <c r="S15" s="2"/>
      <c r="X15" s="54">
        <f>C7*D8</f>
        <v>12212.964995</v>
      </c>
      <c r="Z15" s="54">
        <f>X15*D9</f>
        <v>1933.326505</v>
      </c>
      <c r="AA15" s="72">
        <f>Z15*D20*D21</f>
        <v>760348.7011842262</v>
      </c>
      <c r="AB15" s="72">
        <f>Z16*D20*D21</f>
        <v>488819.03873887705</v>
      </c>
      <c r="AC15" s="72">
        <f>Z17*D20*D21</f>
        <v>1156019.2034788535</v>
      </c>
    </row>
    <row r="16" spans="2:31" x14ac:dyDescent="0.25">
      <c r="B16" s="8"/>
      <c r="C16" s="15"/>
      <c r="H16" s="11"/>
      <c r="I16" s="5" t="s">
        <v>20</v>
      </c>
      <c r="N16" s="53"/>
      <c r="R16" s="53"/>
      <c r="X16" s="54"/>
      <c r="Y16" t="s">
        <v>34</v>
      </c>
      <c r="Z16" s="54">
        <f>X15*E9</f>
        <v>1242.9123667477875</v>
      </c>
      <c r="AA16" s="72"/>
      <c r="AB16" s="72"/>
      <c r="AC16" s="72"/>
    </row>
    <row r="17" spans="2:31" x14ac:dyDescent="0.25">
      <c r="B17" s="98" t="s">
        <v>227</v>
      </c>
      <c r="C17" s="159"/>
      <c r="D17" s="155"/>
      <c r="E17" s="155"/>
      <c r="F17" s="155"/>
      <c r="G17" s="155"/>
      <c r="H17" s="11"/>
      <c r="I17" s="5" t="s">
        <v>20</v>
      </c>
      <c r="N17" s="53"/>
      <c r="R17" s="53"/>
      <c r="X17" s="54"/>
      <c r="Y17" t="s">
        <v>36</v>
      </c>
      <c r="Z17" s="54">
        <f>X15*F9</f>
        <v>2939.3915750677966</v>
      </c>
      <c r="AA17" s="72"/>
      <c r="AB17" s="72"/>
      <c r="AC17" s="72"/>
    </row>
    <row r="18" spans="2:31" ht="24.75" x14ac:dyDescent="0.25">
      <c r="B18" s="8"/>
      <c r="C18" s="15" t="s">
        <v>231</v>
      </c>
      <c r="D18">
        <v>180</v>
      </c>
      <c r="G18" s="38" t="s">
        <v>232</v>
      </c>
      <c r="H18" s="11"/>
      <c r="I18" s="5" t="s">
        <v>20</v>
      </c>
      <c r="N18" s="53"/>
      <c r="R18" s="53"/>
      <c r="X18" s="54"/>
      <c r="Z18" s="54"/>
      <c r="AA18" s="72"/>
      <c r="AB18" s="72"/>
      <c r="AC18" s="72"/>
      <c r="AE18" s="27"/>
    </row>
    <row r="19" spans="2:31" x14ac:dyDescent="0.25">
      <c r="B19" s="8"/>
      <c r="C19" s="15" t="s">
        <v>233</v>
      </c>
      <c r="D19">
        <v>9193.68</v>
      </c>
      <c r="G19" s="38" t="s">
        <v>234</v>
      </c>
      <c r="H19" s="11"/>
      <c r="I19" s="5" t="s">
        <v>20</v>
      </c>
      <c r="K19" s="197" t="s">
        <v>87</v>
      </c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</row>
    <row r="20" spans="2:31" x14ac:dyDescent="0.25">
      <c r="B20" s="8"/>
      <c r="C20" s="15" t="s">
        <v>235</v>
      </c>
      <c r="D20" s="40">
        <f>D19/D18</f>
        <v>51.076000000000001</v>
      </c>
      <c r="G20" s="38" t="s">
        <v>236</v>
      </c>
      <c r="H20" s="11"/>
      <c r="I20" s="5" t="s">
        <v>20</v>
      </c>
      <c r="K20" s="100"/>
      <c r="L20" s="87" t="s">
        <v>89</v>
      </c>
      <c r="M20">
        <v>186</v>
      </c>
      <c r="N20" s="54">
        <f>M20-R20</f>
        <v>79.053719999999984</v>
      </c>
      <c r="O20" s="53">
        <f>C6</f>
        <v>852227.80499999993</v>
      </c>
      <c r="P20">
        <f>N20/O20</f>
        <v>9.2761254134391904E-5</v>
      </c>
      <c r="Q20" s="100"/>
      <c r="R20" s="54">
        <f>S20*D28</f>
        <v>106.94628000000002</v>
      </c>
      <c r="S20" s="2">
        <f>C7</f>
        <v>297877.19500000001</v>
      </c>
      <c r="T20" s="102">
        <f>R20/S20</f>
        <v>3.590280887397238E-4</v>
      </c>
      <c r="U20" s="100"/>
      <c r="V20">
        <f>T20-P20</f>
        <v>2.6626683460533192E-4</v>
      </c>
      <c r="W20" s="102"/>
      <c r="X20" s="54">
        <f>S20*V20</f>
        <v>79.314817813765202</v>
      </c>
      <c r="Y20" s="100"/>
      <c r="Z20" s="13">
        <f>X20*D9*D29</f>
        <v>590.11449392712564</v>
      </c>
      <c r="AA20" s="105">
        <f>Z20*D30</f>
        <v>27599654.880971666</v>
      </c>
      <c r="AB20" s="105">
        <f>Z21*D30</f>
        <v>17743486.307570498</v>
      </c>
      <c r="AC20" s="105">
        <f>Z22*D30</f>
        <v>41961972.187365681</v>
      </c>
    </row>
    <row r="21" spans="2:31" ht="24.6" customHeight="1" x14ac:dyDescent="0.25">
      <c r="B21" s="8"/>
      <c r="C21" s="15" t="s">
        <v>237</v>
      </c>
      <c r="D21">
        <f>17.3-9.6</f>
        <v>7.7000000000000011</v>
      </c>
      <c r="E21">
        <f>15.4-9.1</f>
        <v>6.3000000000000007</v>
      </c>
      <c r="F21">
        <f>19.2-10.1</f>
        <v>9.1</v>
      </c>
      <c r="G21" s="38" t="s">
        <v>238</v>
      </c>
      <c r="H21" s="11"/>
      <c r="I21" s="5" t="s">
        <v>20</v>
      </c>
      <c r="K21" s="100"/>
      <c r="L21" s="87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2" t="s">
        <v>62</v>
      </c>
      <c r="Z21" s="13">
        <f>X20*E9*D29</f>
        <v>379.37751352513357</v>
      </c>
      <c r="AA21" s="100"/>
      <c r="AB21" s="100"/>
      <c r="AC21" s="100"/>
    </row>
    <row r="22" spans="2:31" ht="15" customHeight="1" x14ac:dyDescent="0.25">
      <c r="B22" s="63"/>
      <c r="C22" s="160"/>
      <c r="H22" s="11"/>
      <c r="I22" s="5" t="s">
        <v>20</v>
      </c>
      <c r="K22" s="100"/>
      <c r="L22" s="87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2" t="s">
        <v>36</v>
      </c>
      <c r="Z22" s="13">
        <f>X20*F9*D29</f>
        <v>897.19846455774393</v>
      </c>
      <c r="AA22" s="100"/>
      <c r="AB22" s="100"/>
      <c r="AC22" s="100"/>
    </row>
    <row r="23" spans="2:31" ht="15.95" customHeight="1" x14ac:dyDescent="0.25">
      <c r="B23" s="8"/>
      <c r="C23" s="15"/>
      <c r="G23" s="156"/>
      <c r="H23" s="11"/>
      <c r="I23" s="5" t="s">
        <v>20</v>
      </c>
      <c r="J23" s="33"/>
      <c r="K23" s="100"/>
      <c r="L23" s="87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2"/>
      <c r="Z23" s="13"/>
      <c r="AA23" s="100"/>
      <c r="AB23" s="100"/>
      <c r="AC23" s="100"/>
    </row>
    <row r="24" spans="2:31" x14ac:dyDescent="0.25">
      <c r="B24" s="51" t="s">
        <v>87</v>
      </c>
      <c r="C24" s="32"/>
      <c r="D24" s="32"/>
      <c r="E24" s="32"/>
      <c r="F24" s="32"/>
      <c r="G24" s="32"/>
      <c r="H24" s="41"/>
      <c r="I24" s="5" t="s">
        <v>20</v>
      </c>
      <c r="L24" s="87" t="s">
        <v>95</v>
      </c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>
        <f>D25</f>
        <v>32</v>
      </c>
      <c r="Y24" s="102"/>
      <c r="Z24" s="13">
        <f>(1.15/2)*X24*D29</f>
        <v>864.8</v>
      </c>
      <c r="AA24" s="105">
        <f>Z24*D30</f>
        <v>40446696</v>
      </c>
      <c r="AB24" s="105">
        <f>Z25*D30</f>
        <v>11135232.74131274</v>
      </c>
      <c r="AC24" s="169">
        <f>Z26*D30</f>
        <v>70342080</v>
      </c>
    </row>
    <row r="25" spans="2:31" ht="17.45" customHeight="1" x14ac:dyDescent="0.25">
      <c r="B25" s="8"/>
      <c r="C25" s="15" t="s">
        <v>239</v>
      </c>
      <c r="D25">
        <v>32</v>
      </c>
      <c r="G25" s="38" t="s">
        <v>104</v>
      </c>
      <c r="H25" s="163"/>
      <c r="I25" s="5" t="s">
        <v>20</v>
      </c>
      <c r="L25" s="87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2" t="s">
        <v>62</v>
      </c>
      <c r="Z25" s="13">
        <f>X24*D9*D29</f>
        <v>238.08494208494207</v>
      </c>
      <c r="AA25" s="100"/>
      <c r="AB25" s="100"/>
      <c r="AC25" s="100"/>
    </row>
    <row r="26" spans="2:31" x14ac:dyDescent="0.25">
      <c r="B26" s="8"/>
      <c r="C26" s="15" t="s">
        <v>240</v>
      </c>
      <c r="D26">
        <v>186</v>
      </c>
      <c r="G26" s="38" t="s">
        <v>104</v>
      </c>
      <c r="H26" s="39"/>
      <c r="I26" s="5" t="s">
        <v>20</v>
      </c>
      <c r="L26" s="87"/>
      <c r="N26" s="53"/>
      <c r="R26" s="53"/>
      <c r="X26" s="54"/>
      <c r="Y26" s="102" t="s">
        <v>36</v>
      </c>
      <c r="Z26" s="13">
        <f>X24*D29</f>
        <v>1504</v>
      </c>
      <c r="AA26" s="72"/>
      <c r="AB26" s="72"/>
      <c r="AC26" s="72"/>
      <c r="AE26" s="27"/>
    </row>
    <row r="27" spans="2:31" ht="22.5" customHeight="1" x14ac:dyDescent="0.25">
      <c r="B27" s="8"/>
      <c r="C27" s="15" t="s">
        <v>241</v>
      </c>
      <c r="D27" s="151">
        <f>D26/C5</f>
        <v>1.6172436429717286E-4</v>
      </c>
      <c r="G27" s="38"/>
      <c r="H27" s="39"/>
      <c r="I27" s="5" t="s">
        <v>20</v>
      </c>
      <c r="L27" s="87"/>
      <c r="N27" s="53"/>
      <c r="R27" s="53"/>
      <c r="X27" s="54"/>
      <c r="Y27" s="102"/>
      <c r="Z27" s="13"/>
      <c r="AA27" s="72"/>
      <c r="AB27" s="72"/>
      <c r="AC27" s="72"/>
      <c r="AE27" s="27"/>
    </row>
    <row r="28" spans="2:31" ht="30" x14ac:dyDescent="0.25">
      <c r="B28" s="8"/>
      <c r="C28" s="15" t="s">
        <v>242</v>
      </c>
      <c r="D28" s="103">
        <f>D27*2.22</f>
        <v>3.590280887397238E-4</v>
      </c>
      <c r="G28" s="38"/>
      <c r="H28" s="39"/>
      <c r="I28" s="5" t="s">
        <v>20</v>
      </c>
      <c r="J28" s="23" t="s">
        <v>111</v>
      </c>
      <c r="K28" s="28"/>
      <c r="L28" s="119"/>
      <c r="M28" s="24"/>
      <c r="N28" s="120"/>
      <c r="O28" s="24"/>
      <c r="P28" s="24"/>
      <c r="Q28" s="24"/>
      <c r="R28" s="120"/>
      <c r="S28" s="24"/>
      <c r="T28" s="24"/>
      <c r="U28" s="24"/>
      <c r="V28" s="24"/>
      <c r="W28" s="24"/>
      <c r="X28" s="121"/>
      <c r="Y28" s="122"/>
      <c r="Z28" s="123"/>
      <c r="AA28" s="124"/>
      <c r="AB28" s="124"/>
      <c r="AC28" s="124"/>
    </row>
    <row r="29" spans="2:31" ht="24.6" customHeight="1" x14ac:dyDescent="0.25">
      <c r="B29" s="8"/>
      <c r="C29" s="15" t="s">
        <v>243</v>
      </c>
      <c r="D29" s="53">
        <v>47</v>
      </c>
      <c r="G29" s="38"/>
      <c r="H29" s="163"/>
      <c r="I29" s="5" t="s">
        <v>20</v>
      </c>
      <c r="J29" s="109"/>
      <c r="K29" s="111" t="s">
        <v>114</v>
      </c>
      <c r="L29" s="125"/>
      <c r="M29" s="117"/>
      <c r="N29" s="126"/>
      <c r="O29" s="117"/>
      <c r="P29" s="117"/>
      <c r="Q29" s="117"/>
      <c r="R29" s="126"/>
      <c r="S29" s="117"/>
      <c r="T29" s="117"/>
      <c r="U29" s="117"/>
      <c r="V29" s="117"/>
      <c r="W29" s="117"/>
      <c r="X29" s="127"/>
      <c r="Y29" s="128"/>
      <c r="Z29" s="129"/>
      <c r="AA29" s="130"/>
      <c r="AB29" s="130"/>
      <c r="AC29" s="130"/>
    </row>
    <row r="30" spans="2:31" ht="24.75" x14ac:dyDescent="0.25">
      <c r="B30" s="8"/>
      <c r="C30" s="15" t="s">
        <v>78</v>
      </c>
      <c r="D30" s="40">
        <v>46770</v>
      </c>
      <c r="E30">
        <v>25620</v>
      </c>
      <c r="F30">
        <v>56250</v>
      </c>
      <c r="G30" s="38" t="s">
        <v>79</v>
      </c>
      <c r="H30" s="11"/>
      <c r="I30" s="5" t="s">
        <v>20</v>
      </c>
      <c r="L30" t="s">
        <v>117</v>
      </c>
      <c r="N30" s="53"/>
      <c r="R30" s="53"/>
      <c r="X30" s="54">
        <f>C7*D35</f>
        <v>129874.45702</v>
      </c>
      <c r="Y30" s="102"/>
      <c r="Z30" s="13">
        <f>X30*D9</f>
        <v>20559.276979999999</v>
      </c>
      <c r="AA30" s="72">
        <f>Z30*D34</f>
        <v>26020848.909737002</v>
      </c>
      <c r="AB30" s="72">
        <f>Z31*D34</f>
        <v>16728490.929775881</v>
      </c>
      <c r="AC30" s="72">
        <f>Z32*D34</f>
        <v>39561586.655738212</v>
      </c>
    </row>
    <row r="31" spans="2:31" x14ac:dyDescent="0.25">
      <c r="B31" s="61"/>
      <c r="C31" s="15"/>
      <c r="D31" s="2"/>
      <c r="G31" s="157"/>
      <c r="H31" s="131"/>
      <c r="I31" s="5" t="s">
        <v>20</v>
      </c>
      <c r="N31" s="53"/>
      <c r="R31" s="53"/>
      <c r="X31" s="54"/>
      <c r="Y31" s="102" t="s">
        <v>34</v>
      </c>
      <c r="Z31" s="13">
        <f>X30*E9</f>
        <v>13217.311997610619</v>
      </c>
      <c r="AA31" s="72"/>
      <c r="AB31" s="72"/>
      <c r="AC31" s="72"/>
    </row>
    <row r="32" spans="2:31" ht="28.5" customHeight="1" x14ac:dyDescent="0.25">
      <c r="B32" s="26" t="s">
        <v>111</v>
      </c>
      <c r="C32" s="158"/>
      <c r="D32" s="158"/>
      <c r="E32" s="158"/>
      <c r="F32" s="158"/>
      <c r="G32" s="158"/>
      <c r="H32" s="132"/>
      <c r="I32" s="5" t="s">
        <v>20</v>
      </c>
      <c r="N32" s="53"/>
      <c r="R32" s="53"/>
      <c r="X32" s="54"/>
      <c r="Y32" s="102" t="s">
        <v>36</v>
      </c>
      <c r="Z32" s="13">
        <f>X30*F9</f>
        <v>31257.92016413559</v>
      </c>
      <c r="AA32" s="72"/>
      <c r="AB32" s="72"/>
      <c r="AC32" s="72"/>
    </row>
    <row r="33" spans="2:29" x14ac:dyDescent="0.25">
      <c r="B33" s="133" t="s">
        <v>114</v>
      </c>
      <c r="C33" s="117"/>
      <c r="D33" s="117"/>
      <c r="E33" s="117"/>
      <c r="F33" s="117"/>
      <c r="G33" s="117"/>
      <c r="H33" s="118"/>
      <c r="I33" s="5" t="s">
        <v>20</v>
      </c>
      <c r="N33" s="53"/>
      <c r="R33" s="53"/>
      <c r="X33" s="54"/>
      <c r="Y33" s="102"/>
      <c r="Z33" s="13"/>
      <c r="AA33" s="72"/>
      <c r="AB33" s="72"/>
      <c r="AC33" s="72"/>
    </row>
    <row r="34" spans="2:29" ht="30" x14ac:dyDescent="0.25">
      <c r="B34" s="8"/>
      <c r="C34" s="6" t="s">
        <v>143</v>
      </c>
      <c r="D34" s="40">
        <v>1265.6500000000001</v>
      </c>
      <c r="H34" s="11"/>
      <c r="I34" s="5" t="s">
        <v>20</v>
      </c>
      <c r="L34" t="s">
        <v>121</v>
      </c>
      <c r="N34" s="53"/>
      <c r="R34" s="53"/>
      <c r="X34" s="54">
        <f>C7*D38</f>
        <v>125704.17629</v>
      </c>
      <c r="Y34" s="102"/>
      <c r="Z34" s="13">
        <f>X34*D9</f>
        <v>19899.116709999998</v>
      </c>
      <c r="AA34" s="72">
        <f>Z34*D37</f>
        <v>42815039.00881955</v>
      </c>
      <c r="AB34" s="72">
        <f>Z35*D37</f>
        <v>27525273.837204624</v>
      </c>
      <c r="AC34" s="72">
        <f>Z36*D37</f>
        <v>65095142.813822456</v>
      </c>
    </row>
    <row r="35" spans="2:29" x14ac:dyDescent="0.25">
      <c r="B35" s="8"/>
      <c r="C35" t="s">
        <v>244</v>
      </c>
      <c r="D35">
        <v>0.436</v>
      </c>
      <c r="E35">
        <v>35.799999999999997</v>
      </c>
      <c r="F35">
        <v>51.6</v>
      </c>
      <c r="G35" s="38" t="s">
        <v>245</v>
      </c>
      <c r="H35" s="163"/>
      <c r="I35" s="5" t="s">
        <v>20</v>
      </c>
      <c r="N35" s="53"/>
      <c r="R35" s="53"/>
      <c r="X35" s="54"/>
      <c r="Y35" s="102" t="s">
        <v>62</v>
      </c>
      <c r="Z35" s="13">
        <f>X34*E9</f>
        <v>12792.902896769911</v>
      </c>
      <c r="AA35" s="72"/>
      <c r="AB35" s="72"/>
      <c r="AC35" s="72"/>
    </row>
    <row r="36" spans="2:29" x14ac:dyDescent="0.25">
      <c r="B36" s="8"/>
      <c r="G36" s="38"/>
      <c r="H36" s="39"/>
      <c r="I36" s="5" t="s">
        <v>20</v>
      </c>
      <c r="N36" s="53"/>
      <c r="R36" s="53"/>
      <c r="X36" s="54"/>
      <c r="Y36" s="102" t="s">
        <v>36</v>
      </c>
      <c r="Z36" s="13">
        <f>X34*F9</f>
        <v>30254.225479966099</v>
      </c>
      <c r="AA36" s="72"/>
      <c r="AB36" s="72"/>
      <c r="AC36" s="72"/>
    </row>
    <row r="37" spans="2:29" ht="30" x14ac:dyDescent="0.25">
      <c r="B37" s="8"/>
      <c r="C37" s="6" t="s">
        <v>146</v>
      </c>
      <c r="D37" s="22">
        <f>D34*1.7</f>
        <v>2151.605</v>
      </c>
      <c r="G37" s="38" t="s">
        <v>147</v>
      </c>
      <c r="H37" s="163"/>
      <c r="I37" s="5" t="s">
        <v>20</v>
      </c>
      <c r="N37" s="53"/>
      <c r="R37" s="53"/>
      <c r="X37" s="54"/>
      <c r="Y37" s="102"/>
      <c r="Z37" s="13"/>
      <c r="AA37" s="72"/>
      <c r="AB37" s="72"/>
      <c r="AC37" s="72"/>
    </row>
    <row r="38" spans="2:29" ht="15.75" thickBot="1" x14ac:dyDescent="0.3">
      <c r="B38" s="20"/>
      <c r="C38" s="21" t="s">
        <v>246</v>
      </c>
      <c r="D38" s="21">
        <v>0.42199999999999999</v>
      </c>
      <c r="E38" s="21">
        <v>35</v>
      </c>
      <c r="F38" s="21">
        <v>49.7</v>
      </c>
      <c r="G38" s="140" t="s">
        <v>245</v>
      </c>
      <c r="H38" s="166"/>
      <c r="I38" s="5" t="s">
        <v>20</v>
      </c>
      <c r="N38" s="53"/>
      <c r="R38" s="53"/>
      <c r="X38" s="54"/>
      <c r="Y38" s="102"/>
      <c r="Z38" s="13"/>
      <c r="AA38" s="72"/>
      <c r="AB38" s="72"/>
      <c r="AC38" s="72"/>
    </row>
    <row r="39" spans="2:29" x14ac:dyDescent="0.25">
      <c r="B39" s="194"/>
      <c r="C39" s="194"/>
      <c r="D39" s="194"/>
      <c r="E39" s="194"/>
      <c r="F39" s="194"/>
      <c r="G39" s="194"/>
      <c r="H39" s="144"/>
      <c r="I39" s="5" t="s">
        <v>20</v>
      </c>
      <c r="AA39" s="72"/>
      <c r="AB39" s="72"/>
      <c r="AC39" s="72"/>
    </row>
    <row r="40" spans="2:29" x14ac:dyDescent="0.25">
      <c r="I40" s="5" t="s">
        <v>20</v>
      </c>
      <c r="Z40" s="101" t="s">
        <v>127</v>
      </c>
      <c r="AA40" s="59">
        <f>SUM(AA8:AA34)</f>
        <v>139679060.76492077</v>
      </c>
      <c r="AB40" s="59">
        <f>SUM(AB8:AB34)</f>
        <v>74930527.032768935</v>
      </c>
      <c r="AC40" s="59">
        <f>SUM(AC8:AC34)</f>
        <v>221213014.73849756</v>
      </c>
    </row>
    <row r="41" spans="2:29" x14ac:dyDescent="0.25">
      <c r="I41" s="5" t="s">
        <v>20</v>
      </c>
    </row>
    <row r="42" spans="2:29" x14ac:dyDescent="0.25">
      <c r="I42" s="5" t="s">
        <v>20</v>
      </c>
    </row>
    <row r="43" spans="2:29" x14ac:dyDescent="0.25">
      <c r="I43" s="5" t="s">
        <v>20</v>
      </c>
      <c r="M43" s="27"/>
    </row>
    <row r="44" spans="2:29" x14ac:dyDescent="0.25">
      <c r="I44" s="5" t="s">
        <v>20</v>
      </c>
    </row>
    <row r="45" spans="2:29" x14ac:dyDescent="0.25">
      <c r="I45" s="5" t="s">
        <v>20</v>
      </c>
      <c r="M45" s="99"/>
    </row>
    <row r="46" spans="2:29" x14ac:dyDescent="0.25">
      <c r="I46" s="5" t="s">
        <v>20</v>
      </c>
    </row>
    <row r="47" spans="2:29" x14ac:dyDescent="0.25">
      <c r="C47" s="27"/>
      <c r="I47" s="5" t="s">
        <v>20</v>
      </c>
    </row>
    <row r="48" spans="2:29" x14ac:dyDescent="0.25">
      <c r="C48" s="6"/>
      <c r="D48" s="6"/>
      <c r="I48" s="5" t="s">
        <v>20</v>
      </c>
    </row>
    <row r="49" spans="9:12" x14ac:dyDescent="0.25">
      <c r="I49" s="5" t="s">
        <v>20</v>
      </c>
    </row>
    <row r="50" spans="9:12" x14ac:dyDescent="0.25">
      <c r="I50" s="5" t="s">
        <v>20</v>
      </c>
    </row>
    <row r="51" spans="9:12" x14ac:dyDescent="0.25">
      <c r="I51" s="5" t="s">
        <v>20</v>
      </c>
    </row>
    <row r="52" spans="9:12" ht="26.1" customHeight="1" x14ac:dyDescent="0.25">
      <c r="I52" s="5" t="s">
        <v>20</v>
      </c>
    </row>
    <row r="53" spans="9:12" x14ac:dyDescent="0.25">
      <c r="I53" s="5" t="s">
        <v>20</v>
      </c>
    </row>
    <row r="54" spans="9:12" x14ac:dyDescent="0.25">
      <c r="I54" s="5" t="s">
        <v>20</v>
      </c>
    </row>
    <row r="55" spans="9:12" x14ac:dyDescent="0.25">
      <c r="I55" s="5" t="s">
        <v>20</v>
      </c>
    </row>
    <row r="56" spans="9:12" x14ac:dyDescent="0.25">
      <c r="I56" s="5" t="s">
        <v>20</v>
      </c>
    </row>
    <row r="57" spans="9:12" x14ac:dyDescent="0.25">
      <c r="I57" s="5" t="s">
        <v>20</v>
      </c>
      <c r="K57" s="15"/>
    </row>
    <row r="58" spans="9:12" x14ac:dyDescent="0.25">
      <c r="I58" s="5" t="s">
        <v>20</v>
      </c>
    </row>
    <row r="59" spans="9:12" x14ac:dyDescent="0.25">
      <c r="I59" s="5" t="s">
        <v>20</v>
      </c>
      <c r="L59" s="13"/>
    </row>
    <row r="60" spans="9:12" x14ac:dyDescent="0.25">
      <c r="I60" s="5" t="s">
        <v>20</v>
      </c>
    </row>
    <row r="61" spans="9:12" x14ac:dyDescent="0.25">
      <c r="I61" s="5" t="s">
        <v>20</v>
      </c>
    </row>
    <row r="62" spans="9:12" ht="16.5" customHeight="1" x14ac:dyDescent="0.25">
      <c r="I62" s="5" t="s">
        <v>20</v>
      </c>
    </row>
    <row r="63" spans="9:12" x14ac:dyDescent="0.25">
      <c r="I63" s="5" t="s">
        <v>20</v>
      </c>
    </row>
    <row r="64" spans="9:12" x14ac:dyDescent="0.25">
      <c r="I64" s="5" t="s">
        <v>20</v>
      </c>
    </row>
    <row r="65" spans="9:10" x14ac:dyDescent="0.25">
      <c r="I65" s="5" t="s">
        <v>20</v>
      </c>
      <c r="J65" s="80"/>
    </row>
    <row r="66" spans="9:10" x14ac:dyDescent="0.25">
      <c r="I66" s="5" t="s">
        <v>20</v>
      </c>
    </row>
    <row r="67" spans="9:10" x14ac:dyDescent="0.25">
      <c r="I67" s="5" t="s">
        <v>20</v>
      </c>
    </row>
    <row r="68" spans="9:10" x14ac:dyDescent="0.25">
      <c r="I68" s="5" t="s">
        <v>20</v>
      </c>
    </row>
    <row r="69" spans="9:10" x14ac:dyDescent="0.25">
      <c r="I69" s="5" t="s">
        <v>20</v>
      </c>
      <c r="J69" s="6"/>
    </row>
    <row r="70" spans="9:10" x14ac:dyDescent="0.25">
      <c r="I70" s="5" t="s">
        <v>20</v>
      </c>
    </row>
    <row r="71" spans="9:10" x14ac:dyDescent="0.25">
      <c r="I71" s="5" t="s">
        <v>20</v>
      </c>
    </row>
    <row r="72" spans="9:10" x14ac:dyDescent="0.25">
      <c r="I72" s="5" t="s">
        <v>20</v>
      </c>
    </row>
    <row r="73" spans="9:10" x14ac:dyDescent="0.25">
      <c r="I73" s="5" t="s">
        <v>20</v>
      </c>
    </row>
    <row r="74" spans="9:10" x14ac:dyDescent="0.25">
      <c r="I74" s="5" t="s">
        <v>20</v>
      </c>
    </row>
    <row r="75" spans="9:10" x14ac:dyDescent="0.25">
      <c r="I75" s="5" t="s">
        <v>20</v>
      </c>
    </row>
    <row r="76" spans="9:10" x14ac:dyDescent="0.25">
      <c r="I76" s="5" t="s">
        <v>20</v>
      </c>
    </row>
    <row r="77" spans="9:10" x14ac:dyDescent="0.25">
      <c r="I77" s="5" t="s">
        <v>20</v>
      </c>
    </row>
    <row r="78" spans="9:10" x14ac:dyDescent="0.25">
      <c r="I78" s="5" t="s">
        <v>20</v>
      </c>
    </row>
    <row r="79" spans="9:10" x14ac:dyDescent="0.25">
      <c r="I79" s="5" t="s">
        <v>20</v>
      </c>
    </row>
    <row r="80" spans="9:10" x14ac:dyDescent="0.25">
      <c r="I80" s="5" t="s">
        <v>20</v>
      </c>
    </row>
    <row r="81" spans="9:9" x14ac:dyDescent="0.25">
      <c r="I81" s="5" t="s">
        <v>20</v>
      </c>
    </row>
    <row r="82" spans="9:9" x14ac:dyDescent="0.25">
      <c r="I82" s="5" t="s">
        <v>20</v>
      </c>
    </row>
    <row r="83" spans="9:9" x14ac:dyDescent="0.25">
      <c r="I83" s="5" t="s">
        <v>20</v>
      </c>
    </row>
    <row r="84" spans="9:9" x14ac:dyDescent="0.25">
      <c r="I84" s="5" t="s">
        <v>20</v>
      </c>
    </row>
    <row r="85" spans="9:9" x14ac:dyDescent="0.25">
      <c r="I85" s="5" t="s">
        <v>20</v>
      </c>
    </row>
    <row r="86" spans="9:9" x14ac:dyDescent="0.25">
      <c r="I86" s="5" t="s">
        <v>20</v>
      </c>
    </row>
    <row r="87" spans="9:9" x14ac:dyDescent="0.25">
      <c r="I87" s="5" t="s">
        <v>20</v>
      </c>
    </row>
    <row r="88" spans="9:9" x14ac:dyDescent="0.25">
      <c r="I88" s="5" t="s">
        <v>20</v>
      </c>
    </row>
  </sheetData>
  <mergeCells count="7">
    <mergeCell ref="B2:G3"/>
    <mergeCell ref="J2:AC3"/>
    <mergeCell ref="F12:G12"/>
    <mergeCell ref="B39:G39"/>
    <mergeCell ref="K14:AC14"/>
    <mergeCell ref="K19:AC19"/>
    <mergeCell ref="J13:AC13"/>
  </mergeCells>
  <hyperlinks>
    <hyperlink ref="G8" r:id="rId1" xr:uid="{F94D8409-3B18-486B-B1BD-902803ED01E9}"/>
    <hyperlink ref="G14" r:id="rId2" xr:uid="{1617F0BF-3751-430E-BBF4-6668F9E1E94D}"/>
    <hyperlink ref="G25" r:id="rId3" xr:uid="{3406BC77-2843-4612-8E28-091BB8C2F4BE}"/>
    <hyperlink ref="G26" r:id="rId4" xr:uid="{67D843E7-2696-42EC-974D-A9EF7F6748CE}"/>
    <hyperlink ref="G21" r:id="rId5" xr:uid="{F899F78D-7EB1-4D05-A959-9CCFF92295C6}"/>
    <hyperlink ref="G30" r:id="rId6" xr:uid="{EC936CD1-E1E7-4627-BE92-F4BAD272B58F}"/>
    <hyperlink ref="G13" r:id="rId7" xr:uid="{59984DC8-DAF1-49AF-9A06-8491C9475D14}"/>
    <hyperlink ref="G15" r:id="rId8" xr:uid="{80E2E659-E5EE-4E5A-AF61-0341F02975D1}"/>
    <hyperlink ref="G18" r:id="rId9" xr:uid="{1B9A3897-E8CF-42BA-8161-629046AF61B3}"/>
    <hyperlink ref="G6" r:id="rId10" xr:uid="{2AD1DBF6-C503-4DAF-943F-C639330E8959}"/>
    <hyperlink ref="G19" r:id="rId11" xr:uid="{71A29782-0D81-482B-A97B-6BD476708E06}"/>
    <hyperlink ref="G20" r:id="rId12" xr:uid="{40A28304-85E4-4CA8-93A8-AB58AFB3F13A}"/>
    <hyperlink ref="G35" r:id="rId13" xr:uid="{56D19F65-3317-4B04-9C74-B9F449E9B4EC}"/>
    <hyperlink ref="G38" r:id="rId14" xr:uid="{70B6A95B-5D34-49D6-AF17-757478A0714D}"/>
  </hyperlinks>
  <pageMargins left="0.7" right="0.7" top="0.75" bottom="0.75" header="0.3" footer="0.3"/>
  <pageSetup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2FD37-D20F-49FA-8CFD-73AAB96E971C}">
  <dimension ref="A1:I24"/>
  <sheetViews>
    <sheetView topLeftCell="A7" workbookViewId="0">
      <selection activeCell="B10" sqref="B10"/>
    </sheetView>
  </sheetViews>
  <sheetFormatPr defaultRowHeight="15" x14ac:dyDescent="0.25"/>
  <cols>
    <col min="1" max="1" width="26.140625" bestFit="1" customWidth="1"/>
    <col min="2" max="3" width="18" style="175" bestFit="1" customWidth="1"/>
    <col min="4" max="4" width="16.28515625" style="175" bestFit="1" customWidth="1"/>
    <col min="5" max="5" width="18" style="175" bestFit="1" customWidth="1"/>
    <col min="8" max="8" width="16.85546875" bestFit="1" customWidth="1"/>
    <col min="9" max="9" width="18.7109375" bestFit="1" customWidth="1"/>
  </cols>
  <sheetData>
    <row r="1" spans="1:9" ht="15.75" thickBot="1" x14ac:dyDescent="0.3">
      <c r="B1" s="175" t="s">
        <v>247</v>
      </c>
      <c r="C1" s="175" t="s">
        <v>248</v>
      </c>
      <c r="D1" s="175" t="s">
        <v>249</v>
      </c>
      <c r="E1" s="175" t="s">
        <v>250</v>
      </c>
    </row>
    <row r="2" spans="1:9" ht="15.75" thickBot="1" x14ac:dyDescent="0.3">
      <c r="A2" s="135" t="s">
        <v>251</v>
      </c>
      <c r="B2" s="177">
        <f>'Other MI'!AA69</f>
        <v>2054924297.918231</v>
      </c>
      <c r="C2" s="177">
        <f>SMI!AA71</f>
        <v>1991159174.6526418</v>
      </c>
      <c r="D2" s="177">
        <f>Children!AA40</f>
        <v>139679060.76492077</v>
      </c>
      <c r="E2" s="178">
        <f>SUM(B2:D2)</f>
        <v>4185762533.3357935</v>
      </c>
    </row>
    <row r="3" spans="1:9" x14ac:dyDescent="0.25">
      <c r="A3" s="134" t="s">
        <v>32</v>
      </c>
      <c r="B3" s="179">
        <f>'Other MI'!AA8</f>
        <v>2116642.3879063549</v>
      </c>
      <c r="C3" s="179">
        <f>SMI!AA8</f>
        <v>3291954.6284285951</v>
      </c>
      <c r="D3" s="179">
        <v>0</v>
      </c>
      <c r="E3" s="180">
        <f t="shared" ref="E3" si="0">SUM(B3:D3)</f>
        <v>5408597.01633495</v>
      </c>
    </row>
    <row r="4" spans="1:9" x14ac:dyDescent="0.25">
      <c r="A4" s="8" t="s">
        <v>40</v>
      </c>
      <c r="B4" s="175">
        <f>'Other MI'!AA14</f>
        <v>101766962.41581102</v>
      </c>
      <c r="C4" s="175">
        <f>SMI!AA12</f>
        <v>66209661.673635922</v>
      </c>
      <c r="D4" s="175">
        <f>Children!AA8</f>
        <v>2036473.2642083373</v>
      </c>
      <c r="E4" s="181">
        <f>SUM(B4:D4)</f>
        <v>170013097.35365528</v>
      </c>
    </row>
    <row r="5" spans="1:9" ht="15.75" thickBot="1" x14ac:dyDescent="0.3">
      <c r="A5" s="136" t="s">
        <v>43</v>
      </c>
      <c r="B5" s="182">
        <f>SUM(B3:B4)</f>
        <v>103883604.80371737</v>
      </c>
      <c r="C5" s="182">
        <f>SUM(C3:C4)</f>
        <v>69501616.302064523</v>
      </c>
      <c r="D5" s="182">
        <f>SUM(D3:D4)</f>
        <v>2036473.2642083373</v>
      </c>
      <c r="E5" s="183">
        <f>SUM(B5:D5)</f>
        <v>175421694.36999026</v>
      </c>
    </row>
    <row r="6" spans="1:9" x14ac:dyDescent="0.25">
      <c r="A6" s="134" t="s">
        <v>252</v>
      </c>
      <c r="B6" s="179">
        <f>'Other MI'!AA20</f>
        <v>3757756.9993925835</v>
      </c>
      <c r="C6" s="179">
        <f>SMI!AA18</f>
        <v>4530057.1825986095</v>
      </c>
      <c r="D6" s="179">
        <v>0</v>
      </c>
      <c r="E6" s="180">
        <f>SUM(B6:D6)</f>
        <v>8287814.1819911934</v>
      </c>
    </row>
    <row r="7" spans="1:9" x14ac:dyDescent="0.25">
      <c r="A7" s="8" t="s">
        <v>253</v>
      </c>
      <c r="B7" s="175">
        <f>'Other MI'!AA24</f>
        <v>750707.27205094113</v>
      </c>
      <c r="C7" s="175">
        <f>SMI!AA22</f>
        <v>904993.82220113813</v>
      </c>
      <c r="D7" s="175">
        <v>0</v>
      </c>
      <c r="E7" s="181">
        <f t="shared" ref="E7:E10" si="1">SUM(B7:D7)</f>
        <v>1655701.0942520793</v>
      </c>
      <c r="H7" t="s">
        <v>254</v>
      </c>
      <c r="I7" s="22">
        <f>SUM(C5,C8)</f>
        <v>74936667.306864277</v>
      </c>
    </row>
    <row r="8" spans="1:9" ht="15.75" thickBot="1" x14ac:dyDescent="0.3">
      <c r="A8" s="136" t="s">
        <v>255</v>
      </c>
      <c r="B8" s="182">
        <f>SUM(B6:B7)</f>
        <v>4508464.2714435244</v>
      </c>
      <c r="C8" s="182">
        <f t="shared" ref="C8" si="2">SUM(C6:C7)</f>
        <v>5435051.0047997478</v>
      </c>
      <c r="D8" s="182">
        <v>0</v>
      </c>
      <c r="E8" s="183">
        <f t="shared" si="1"/>
        <v>9943515.2762432732</v>
      </c>
      <c r="H8" s="22" t="s">
        <v>256</v>
      </c>
      <c r="I8" s="22">
        <f>SUM(B5, B8)</f>
        <v>108392069.07516091</v>
      </c>
    </row>
    <row r="9" spans="1:9" ht="15.75" thickBot="1" x14ac:dyDescent="0.3">
      <c r="A9" s="135" t="s">
        <v>257</v>
      </c>
      <c r="B9" s="177"/>
      <c r="C9" s="177"/>
      <c r="D9" s="177">
        <f>Children!AA15</f>
        <v>760348.7011842262</v>
      </c>
      <c r="E9" s="178">
        <f t="shared" si="1"/>
        <v>760348.7011842262</v>
      </c>
      <c r="H9" t="s">
        <v>258</v>
      </c>
      <c r="I9" s="22">
        <f>D5</f>
        <v>2036473.2642083373</v>
      </c>
    </row>
    <row r="10" spans="1:9" ht="15.75" thickBot="1" x14ac:dyDescent="0.3">
      <c r="A10" s="134" t="s">
        <v>68</v>
      </c>
      <c r="B10" s="179">
        <f>'Other MI'!AA30</f>
        <v>174895232.66445911</v>
      </c>
      <c r="C10" s="179">
        <f>SMI!AA27</f>
        <v>235812941.10049668</v>
      </c>
      <c r="D10" s="179"/>
      <c r="E10" s="180">
        <f t="shared" si="1"/>
        <v>410708173.76495576</v>
      </c>
      <c r="I10" s="22">
        <f>SUM(I7:I9)</f>
        <v>185365209.64623353</v>
      </c>
    </row>
    <row r="11" spans="1:9" x14ac:dyDescent="0.25">
      <c r="A11" s="134" t="s">
        <v>76</v>
      </c>
      <c r="B11" s="179">
        <f>'Other MI'!AA35</f>
        <v>101099598.49662597</v>
      </c>
      <c r="C11" s="179">
        <f>SMI!AA32</f>
        <v>32092960.133887414</v>
      </c>
      <c r="D11" s="179">
        <v>0</v>
      </c>
      <c r="E11" s="180">
        <f>SUM(B11:C11)</f>
        <v>133192558.63051338</v>
      </c>
    </row>
    <row r="12" spans="1:9" x14ac:dyDescent="0.25">
      <c r="A12" s="8" t="s">
        <v>82</v>
      </c>
      <c r="B12" s="175">
        <f>'Other MI'!AA39</f>
        <v>589747657.89698493</v>
      </c>
      <c r="C12" s="175">
        <f>SMI!AA37</f>
        <v>152393517.28247139</v>
      </c>
      <c r="D12" s="175">
        <v>0</v>
      </c>
      <c r="E12" s="181">
        <f>SUM(B12:C12)</f>
        <v>742141175.17945635</v>
      </c>
    </row>
    <row r="13" spans="1:9" ht="15.75" thickBot="1" x14ac:dyDescent="0.3">
      <c r="A13" s="137" t="s">
        <v>259</v>
      </c>
      <c r="B13" s="184">
        <f>SUM(B11:B12)</f>
        <v>690847256.39361095</v>
      </c>
      <c r="C13" s="184">
        <f>SUM(C11:C12)</f>
        <v>184486477.4163588</v>
      </c>
      <c r="D13" s="184">
        <v>0</v>
      </c>
      <c r="E13" s="185">
        <f>SUM(B13:C13)</f>
        <v>875333733.80996978</v>
      </c>
      <c r="H13" t="s">
        <v>260</v>
      </c>
      <c r="I13" s="22">
        <f>SUM(C10,C13,C16,C19)</f>
        <v>1635047945.8817775</v>
      </c>
    </row>
    <row r="14" spans="1:9" x14ac:dyDescent="0.25">
      <c r="A14" s="134" t="s">
        <v>261</v>
      </c>
      <c r="B14" s="179">
        <f>'Other MI'!AA44</f>
        <v>403756055.99999994</v>
      </c>
      <c r="C14" s="179">
        <f>SMI!AA42</f>
        <v>563690748</v>
      </c>
      <c r="D14" s="179">
        <f>Children!AA20</f>
        <v>27599654.880971666</v>
      </c>
      <c r="E14" s="180">
        <f t="shared" ref="E14" si="3">SUM(B14:C14)</f>
        <v>967446804</v>
      </c>
      <c r="H14" s="22" t="s">
        <v>262</v>
      </c>
      <c r="I14" s="22">
        <f>SUM(B10,B13,B16,B19)</f>
        <v>1588092624.8069501</v>
      </c>
    </row>
    <row r="15" spans="1:9" x14ac:dyDescent="0.25">
      <c r="A15" s="8" t="s">
        <v>95</v>
      </c>
      <c r="B15" s="175">
        <v>0</v>
      </c>
      <c r="C15" s="175">
        <f>SMI!AA47</f>
        <v>431324037.96610159</v>
      </c>
      <c r="D15" s="175">
        <f>Children!AA24</f>
        <v>40446696</v>
      </c>
      <c r="E15" s="181">
        <f>SUM(C15:D15)</f>
        <v>471770733.96610159</v>
      </c>
      <c r="H15" t="s">
        <v>263</v>
      </c>
      <c r="I15" s="22">
        <f>SUM(D9,D16)</f>
        <v>68806699.582155898</v>
      </c>
    </row>
    <row r="16" spans="1:9" ht="15.75" thickBot="1" x14ac:dyDescent="0.3">
      <c r="A16" s="136" t="s">
        <v>264</v>
      </c>
      <c r="B16" s="182">
        <f>SUM(B14:B15)</f>
        <v>403756055.99999994</v>
      </c>
      <c r="C16" s="182">
        <f t="shared" ref="C16:D16" si="4">SUM(C14:C15)</f>
        <v>995014785.96610165</v>
      </c>
      <c r="D16" s="182">
        <f t="shared" si="4"/>
        <v>68046350.88097167</v>
      </c>
      <c r="E16" s="183">
        <f>SUM(B16:D16)</f>
        <v>1466817192.8470733</v>
      </c>
    </row>
    <row r="17" spans="1:9" x14ac:dyDescent="0.25">
      <c r="A17" s="134" t="s">
        <v>265</v>
      </c>
      <c r="B17" s="186">
        <f>'Other MI'!AA51</f>
        <v>305905753.31472009</v>
      </c>
      <c r="C17" s="186">
        <f>SMI!AA53</f>
        <v>211921994.09274572</v>
      </c>
      <c r="D17" s="179">
        <v>0</v>
      </c>
      <c r="E17" s="180">
        <f>SUM(B17:D17)</f>
        <v>517827747.40746582</v>
      </c>
    </row>
    <row r="18" spans="1:9" x14ac:dyDescent="0.25">
      <c r="A18" s="8" t="s">
        <v>266</v>
      </c>
      <c r="B18" s="175">
        <f>'Other MI'!AA55</f>
        <v>12688326.434160002</v>
      </c>
      <c r="C18" s="175">
        <f>SMI!AA57</f>
        <v>7811747.3060745755</v>
      </c>
      <c r="D18" s="175">
        <v>0</v>
      </c>
      <c r="E18" s="181">
        <f>SUM(B18:D18)</f>
        <v>20500073.740234576</v>
      </c>
      <c r="H18" t="s">
        <v>267</v>
      </c>
      <c r="I18" s="22">
        <f>C22</f>
        <v>281174561.46399999</v>
      </c>
    </row>
    <row r="19" spans="1:9" ht="15.75" thickBot="1" x14ac:dyDescent="0.3">
      <c r="A19" s="136" t="s">
        <v>268</v>
      </c>
      <c r="B19" s="182">
        <f>SUM(B17:B18)</f>
        <v>318594079.74888009</v>
      </c>
      <c r="C19" s="182">
        <f t="shared" ref="C19:D19" si="5">SUM(C17:C18)</f>
        <v>219733741.39882031</v>
      </c>
      <c r="D19" s="182">
        <f t="shared" si="5"/>
        <v>0</v>
      </c>
      <c r="E19" s="183">
        <f>SUM(B19:D19)</f>
        <v>538327821.14770043</v>
      </c>
      <c r="H19" s="22" t="s">
        <v>269</v>
      </c>
      <c r="I19" s="22">
        <f>B22</f>
        <v>358439604.03612006</v>
      </c>
    </row>
    <row r="20" spans="1:9" x14ac:dyDescent="0.25">
      <c r="A20" s="134" t="s">
        <v>270</v>
      </c>
      <c r="B20" s="179">
        <f>'Other MI'!AA61</f>
        <v>59400366.692400008</v>
      </c>
      <c r="C20" s="179">
        <f>SMI!AA63</f>
        <v>56086373.039999992</v>
      </c>
      <c r="D20" s="179">
        <f>Children!AA30</f>
        <v>26020848.909737002</v>
      </c>
      <c r="E20" s="180">
        <f t="shared" ref="E20:E21" si="6">SUM(B20:D20)</f>
        <v>141507588.64213699</v>
      </c>
      <c r="H20" t="s">
        <v>271</v>
      </c>
      <c r="I20" s="22">
        <f>D22</f>
        <v>68835887.918556556</v>
      </c>
    </row>
    <row r="21" spans="1:9" x14ac:dyDescent="0.25">
      <c r="A21" s="8" t="s">
        <v>272</v>
      </c>
      <c r="B21" s="175">
        <f>'Other MI'!AA65</f>
        <v>299039237.34372002</v>
      </c>
      <c r="C21" s="175">
        <f>SMI!AA67</f>
        <v>225088188.42399999</v>
      </c>
      <c r="D21" s="175">
        <f>Children!AA34</f>
        <v>42815039.00881955</v>
      </c>
      <c r="E21" s="181">
        <f t="shared" si="6"/>
        <v>566942464.77653956</v>
      </c>
      <c r="I21" s="22">
        <f>SUM(I18:I20)</f>
        <v>708450053.41867661</v>
      </c>
    </row>
    <row r="22" spans="1:9" ht="15.75" thickBot="1" x14ac:dyDescent="0.3">
      <c r="A22" s="136" t="s">
        <v>273</v>
      </c>
      <c r="B22" s="182">
        <f>SUM(B20:B21)</f>
        <v>358439604.03612006</v>
      </c>
      <c r="C22" s="182">
        <f t="shared" ref="C22:D22" si="7">SUM(C20:C21)</f>
        <v>281174561.46399999</v>
      </c>
      <c r="D22" s="182">
        <f t="shared" si="7"/>
        <v>68835887.918556556</v>
      </c>
      <c r="E22" s="183">
        <f>SUM(B22:D22)</f>
        <v>708450053.41867661</v>
      </c>
    </row>
    <row r="24" spans="1:9" x14ac:dyDescent="0.25">
      <c r="B24" s="175">
        <f>SUM(B22,B19,B16,B13,B10,B9,B8,B5)</f>
        <v>2054924297.918231</v>
      </c>
      <c r="C24" s="175">
        <f>SUM(C22,C19,C16,C13,C10,C9,C8,C5)</f>
        <v>1991159174.6526415</v>
      </c>
      <c r="D24" s="175">
        <f>SUM(D22,D19,D16,D13,D10,D9,D8,D5)</f>
        <v>139679060.7649208</v>
      </c>
      <c r="E24" s="175">
        <f>SUM(E22,E19,E16,E13,E10,E9,E8,E5)</f>
        <v>4185762533.3357935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109EA-E619-4EED-96D8-DA63B17980DB}">
  <dimension ref="B1:AB90"/>
  <sheetViews>
    <sheetView zoomScale="70" zoomScaleNormal="70" workbookViewId="0">
      <selection activeCell="H1" sqref="H1:H1048576"/>
    </sheetView>
  </sheetViews>
  <sheetFormatPr defaultRowHeight="15" x14ac:dyDescent="0.25"/>
  <cols>
    <col min="2" max="2" width="27.42578125" customWidth="1"/>
    <col min="3" max="3" width="33.140625" customWidth="1"/>
    <col min="4" max="4" width="16.85546875" bestFit="1" customWidth="1"/>
    <col min="5" max="5" width="12.7109375" customWidth="1"/>
    <col min="6" max="6" width="12.42578125" bestFit="1" customWidth="1"/>
    <col min="7" max="7" width="53.85546875" customWidth="1"/>
    <col min="8" max="8" width="11.140625" customWidth="1"/>
    <col min="10" max="10" width="25.28515625" customWidth="1"/>
    <col min="11" max="11" width="30" bestFit="1" customWidth="1"/>
    <col min="13" max="13" width="16.42578125" customWidth="1"/>
    <col min="14" max="14" width="13" customWidth="1"/>
    <col min="15" max="15" width="11.85546875" customWidth="1"/>
    <col min="16" max="16" width="12.5703125" customWidth="1"/>
    <col min="18" max="18" width="12.7109375" customWidth="1"/>
    <col min="19" max="20" width="10.85546875" customWidth="1"/>
    <col min="24" max="24" width="13.85546875" customWidth="1"/>
    <col min="26" max="26" width="28.85546875" customWidth="1"/>
    <col min="27" max="27" width="24.140625" customWidth="1"/>
    <col min="28" max="28" width="20.42578125" customWidth="1"/>
  </cols>
  <sheetData>
    <row r="1" spans="2:28" ht="15.75" thickBot="1" x14ac:dyDescent="0.3"/>
    <row r="2" spans="2:28" ht="15" customHeight="1" x14ac:dyDescent="0.25">
      <c r="B2" s="188" t="s">
        <v>0</v>
      </c>
      <c r="C2" s="189"/>
      <c r="D2" s="189"/>
      <c r="E2" s="189"/>
      <c r="F2" s="189"/>
      <c r="G2" s="189"/>
      <c r="H2" s="141"/>
      <c r="J2" s="191" t="s">
        <v>1</v>
      </c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</row>
    <row r="3" spans="2:28" ht="14.45" customHeight="1" x14ac:dyDescent="0.25">
      <c r="B3" s="190"/>
      <c r="C3" s="191"/>
      <c r="D3" s="191"/>
      <c r="E3" s="191"/>
      <c r="F3" s="191"/>
      <c r="G3" s="191"/>
      <c r="H3" s="142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</row>
    <row r="4" spans="2:28" x14ac:dyDescent="0.25">
      <c r="B4" s="8"/>
      <c r="C4" s="145" t="s">
        <v>2</v>
      </c>
      <c r="D4" s="145" t="s">
        <v>3</v>
      </c>
      <c r="E4" s="145" t="s">
        <v>4</v>
      </c>
      <c r="F4" s="145" t="s">
        <v>5</v>
      </c>
      <c r="G4" s="145" t="s">
        <v>6</v>
      </c>
      <c r="H4" s="9"/>
    </row>
    <row r="5" spans="2:28" ht="42" customHeight="1" x14ac:dyDescent="0.25">
      <c r="B5" s="10" t="s">
        <v>7</v>
      </c>
      <c r="C5">
        <v>5029000</v>
      </c>
      <c r="H5" s="11"/>
      <c r="J5" s="23"/>
      <c r="K5" s="23"/>
      <c r="L5" s="23"/>
      <c r="M5" s="23"/>
      <c r="N5" s="23" t="s">
        <v>8</v>
      </c>
      <c r="O5" s="23" t="s">
        <v>8</v>
      </c>
      <c r="P5" s="23" t="s">
        <v>9</v>
      </c>
      <c r="Q5" s="23"/>
      <c r="R5" s="23" t="s">
        <v>10</v>
      </c>
      <c r="S5" s="23" t="s">
        <v>10</v>
      </c>
      <c r="T5" s="23" t="s">
        <v>11</v>
      </c>
      <c r="U5" s="23"/>
      <c r="V5" s="23" t="s">
        <v>12</v>
      </c>
      <c r="W5" s="23"/>
      <c r="X5" s="23" t="s">
        <v>13</v>
      </c>
      <c r="Y5" s="23"/>
      <c r="Z5" s="23" t="s">
        <v>14</v>
      </c>
      <c r="AA5" s="23" t="s">
        <v>15</v>
      </c>
      <c r="AB5" s="23" t="s">
        <v>6</v>
      </c>
    </row>
    <row r="6" spans="2:28" ht="36" customHeight="1" x14ac:dyDescent="0.25">
      <c r="B6" s="10" t="s">
        <v>18</v>
      </c>
      <c r="C6">
        <v>4733000</v>
      </c>
      <c r="D6">
        <v>94.1</v>
      </c>
      <c r="E6">
        <v>92.3</v>
      </c>
      <c r="F6">
        <v>95.5</v>
      </c>
      <c r="G6" s="138" t="s">
        <v>19</v>
      </c>
      <c r="H6" s="12"/>
      <c r="I6" s="5" t="s">
        <v>20</v>
      </c>
      <c r="J6" s="6"/>
      <c r="K6" s="6"/>
      <c r="L6" s="6"/>
      <c r="M6" s="6" t="s">
        <v>21</v>
      </c>
      <c r="N6" s="7" t="s">
        <v>22</v>
      </c>
      <c r="O6" s="7" t="s">
        <v>23</v>
      </c>
      <c r="P6" s="7" t="s">
        <v>24</v>
      </c>
      <c r="Q6" s="7"/>
      <c r="R6" s="7" t="s">
        <v>25</v>
      </c>
      <c r="S6" s="7" t="s">
        <v>26</v>
      </c>
      <c r="T6" s="7" t="s">
        <v>27</v>
      </c>
      <c r="U6" s="6"/>
      <c r="V6" s="6"/>
      <c r="W6" s="6"/>
      <c r="X6" s="6"/>
      <c r="Y6" s="6"/>
      <c r="Z6" s="6"/>
      <c r="AA6" s="6"/>
    </row>
    <row r="7" spans="2:28" ht="34.5" customHeight="1" x14ac:dyDescent="0.25">
      <c r="B7" s="10" t="s">
        <v>28</v>
      </c>
      <c r="C7" s="2">
        <v>296000</v>
      </c>
      <c r="D7">
        <v>5.9</v>
      </c>
      <c r="E7">
        <v>4.5</v>
      </c>
      <c r="F7">
        <v>7.7</v>
      </c>
      <c r="G7" s="138" t="s">
        <v>19</v>
      </c>
      <c r="H7" s="12"/>
      <c r="I7" s="5" t="s">
        <v>20</v>
      </c>
      <c r="J7" s="23" t="s">
        <v>29</v>
      </c>
      <c r="K7" s="43" t="s">
        <v>30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2:28" x14ac:dyDescent="0.25">
      <c r="B8" s="10" t="s">
        <v>31</v>
      </c>
      <c r="D8" s="13">
        <f>D7*0.525</f>
        <v>3.0975000000000001</v>
      </c>
      <c r="E8" s="13">
        <f>E7*0.525</f>
        <v>2.3625000000000003</v>
      </c>
      <c r="F8" s="13">
        <f>F7*0.52</f>
        <v>4.0040000000000004</v>
      </c>
      <c r="H8" s="11"/>
      <c r="I8" s="5" t="s">
        <v>20</v>
      </c>
      <c r="L8" t="s">
        <v>32</v>
      </c>
      <c r="M8">
        <v>20880</v>
      </c>
      <c r="N8" s="53">
        <f>((1-D19)*M8)</f>
        <v>12528</v>
      </c>
      <c r="O8">
        <f>C10</f>
        <v>3887000</v>
      </c>
      <c r="P8">
        <f>N8/O8</f>
        <v>3.2230511962953435E-3</v>
      </c>
      <c r="R8" s="53">
        <f>D19*M8</f>
        <v>8352</v>
      </c>
      <c r="S8" s="2">
        <f>C13</f>
        <v>846000</v>
      </c>
      <c r="T8">
        <f>R8/S8</f>
        <v>9.8723404255319155E-3</v>
      </c>
      <c r="V8">
        <f>T8-P8</f>
        <v>6.6492892292365716E-3</v>
      </c>
      <c r="X8" s="54">
        <f>V8*S8</f>
        <v>5625.2986879341397</v>
      </c>
      <c r="Z8" s="54">
        <f>X8*E15</f>
        <v>1334.4182423030727</v>
      </c>
      <c r="AA8" s="59">
        <f>Z8*E20*E21</f>
        <v>296507.7334397427</v>
      </c>
      <c r="AB8" s="27" t="s">
        <v>33</v>
      </c>
    </row>
    <row r="9" spans="2:28" x14ac:dyDescent="0.25">
      <c r="B9" s="10"/>
      <c r="D9" s="13"/>
      <c r="E9" s="13"/>
      <c r="F9" s="13"/>
      <c r="H9" s="11"/>
      <c r="I9" s="5"/>
      <c r="N9" s="53"/>
      <c r="R9" s="53"/>
      <c r="X9" s="54"/>
      <c r="Z9" s="54"/>
      <c r="AA9" s="59"/>
      <c r="AB9" s="27"/>
    </row>
    <row r="10" spans="2:28" ht="24.75" x14ac:dyDescent="0.25">
      <c r="B10" s="10" t="s">
        <v>35</v>
      </c>
      <c r="C10">
        <f>C5-C11</f>
        <v>3887000</v>
      </c>
      <c r="D10" s="13">
        <f>C10/C5</f>
        <v>0.77291708093060252</v>
      </c>
      <c r="E10" s="13">
        <v>0.74</v>
      </c>
      <c r="F10" s="13">
        <v>0.8</v>
      </c>
      <c r="G10" s="138" t="s">
        <v>19</v>
      </c>
      <c r="H10" s="12"/>
      <c r="I10" s="5" t="s">
        <v>20</v>
      </c>
      <c r="N10" s="53"/>
      <c r="R10" s="53"/>
      <c r="X10" s="54"/>
      <c r="Z10" s="54"/>
      <c r="AA10" s="59"/>
      <c r="AB10" s="27"/>
    </row>
    <row r="11" spans="2:28" ht="24.75" x14ac:dyDescent="0.25">
      <c r="B11" s="10" t="s">
        <v>37</v>
      </c>
      <c r="C11">
        <v>1142000</v>
      </c>
      <c r="D11" s="75">
        <f>C11/C5</f>
        <v>0.22708291906939748</v>
      </c>
      <c r="E11" s="75">
        <v>0.20100000000000001</v>
      </c>
      <c r="F11" s="75">
        <v>0.25600000000000001</v>
      </c>
      <c r="G11" s="138" t="s">
        <v>19</v>
      </c>
      <c r="H11" s="12"/>
      <c r="I11" s="5" t="s">
        <v>20</v>
      </c>
      <c r="N11" s="53"/>
      <c r="R11" s="53"/>
      <c r="X11" s="54"/>
      <c r="Z11" s="54"/>
      <c r="AA11" s="59"/>
      <c r="AB11" s="27"/>
    </row>
    <row r="12" spans="2:28" x14ac:dyDescent="0.25">
      <c r="B12" s="10"/>
      <c r="D12" s="13"/>
      <c r="E12" s="13"/>
      <c r="F12" s="13"/>
      <c r="H12" s="11"/>
      <c r="I12" s="5" t="s">
        <v>20</v>
      </c>
      <c r="N12" s="53"/>
      <c r="R12" s="53"/>
      <c r="X12" s="54"/>
      <c r="Z12" s="54"/>
      <c r="AA12" s="59"/>
      <c r="AB12" s="27"/>
    </row>
    <row r="13" spans="2:28" x14ac:dyDescent="0.25">
      <c r="B13" s="10" t="s">
        <v>38</v>
      </c>
      <c r="C13" s="2">
        <f>C11-C7</f>
        <v>846000</v>
      </c>
      <c r="D13" s="13">
        <f>C13/C5</f>
        <v>0.16822429906542055</v>
      </c>
      <c r="E13" s="13"/>
      <c r="F13" s="13"/>
      <c r="H13" s="11"/>
      <c r="I13" s="5" t="s">
        <v>20</v>
      </c>
      <c r="N13" s="53"/>
      <c r="R13" s="53"/>
      <c r="X13" s="54"/>
      <c r="Z13" s="54"/>
      <c r="AA13" s="59"/>
      <c r="AB13" s="27"/>
    </row>
    <row r="14" spans="2:28" x14ac:dyDescent="0.25">
      <c r="B14" s="10" t="s">
        <v>39</v>
      </c>
      <c r="D14" s="56">
        <f>D11*0.268</f>
        <v>6.085822231059853E-2</v>
      </c>
      <c r="E14">
        <f>E11*0.268</f>
        <v>5.3868000000000006E-2</v>
      </c>
      <c r="F14">
        <f>F11*0.268</f>
        <v>6.8608000000000002E-2</v>
      </c>
      <c r="H14" s="11"/>
      <c r="I14" s="5" t="s">
        <v>20</v>
      </c>
      <c r="L14" t="s">
        <v>40</v>
      </c>
      <c r="M14">
        <v>27180</v>
      </c>
      <c r="N14" s="53">
        <f>((1-D23)*M14)</f>
        <v>16308</v>
      </c>
      <c r="O14">
        <f>C10</f>
        <v>3887000</v>
      </c>
      <c r="P14">
        <f>N14/O14</f>
        <v>4.1955235400051452E-3</v>
      </c>
      <c r="R14" s="53">
        <f>D23*M14</f>
        <v>10872</v>
      </c>
      <c r="S14" s="2">
        <f>C13</f>
        <v>846000</v>
      </c>
      <c r="T14">
        <f>R14/S14</f>
        <v>1.2851063829787235E-2</v>
      </c>
      <c r="V14">
        <f>T14-P14</f>
        <v>8.6555402897820904E-3</v>
      </c>
      <c r="X14" s="54">
        <f>V14*S14</f>
        <v>7322.5870851556483</v>
      </c>
      <c r="Z14" s="54">
        <f>X14*E15</f>
        <v>1737.0444361014138</v>
      </c>
      <c r="AA14" s="59">
        <f>Z14*D24*E25</f>
        <v>16681098.276547292</v>
      </c>
    </row>
    <row r="15" spans="2:28" ht="24.75" x14ac:dyDescent="0.25">
      <c r="B15" s="10" t="s">
        <v>41</v>
      </c>
      <c r="D15">
        <v>0.26800000000000002</v>
      </c>
      <c r="E15" s="146">
        <f>E14/D11</f>
        <v>0.23721731348511388</v>
      </c>
      <c r="F15">
        <f>F14/D11</f>
        <v>0.3021275236427321</v>
      </c>
      <c r="H15" s="11"/>
      <c r="I15" s="5" t="s">
        <v>20</v>
      </c>
      <c r="N15" s="53"/>
      <c r="R15" s="53"/>
      <c r="X15" s="54"/>
      <c r="Z15" s="54"/>
      <c r="AA15" s="59"/>
    </row>
    <row r="16" spans="2:28" ht="17.45" customHeight="1" x14ac:dyDescent="0.25">
      <c r="B16" s="10" t="s">
        <v>42</v>
      </c>
      <c r="D16" s="53">
        <f>C13*D15</f>
        <v>226728</v>
      </c>
      <c r="E16" s="53">
        <f>C13*E15</f>
        <v>200685.84720840634</v>
      </c>
      <c r="F16" s="53">
        <f>C13*F15</f>
        <v>255599.88500175136</v>
      </c>
      <c r="H16" s="11"/>
      <c r="I16" s="5" t="s">
        <v>20</v>
      </c>
      <c r="N16" s="53"/>
      <c r="R16" s="53"/>
      <c r="X16" s="54"/>
      <c r="Z16" s="54"/>
      <c r="AA16" s="59"/>
    </row>
    <row r="17" spans="2:28" ht="29.45" customHeight="1" x14ac:dyDescent="0.25">
      <c r="B17" s="26" t="s">
        <v>29</v>
      </c>
      <c r="C17" s="24"/>
      <c r="D17" s="24"/>
      <c r="E17" s="24"/>
      <c r="F17" s="24"/>
      <c r="G17" s="24"/>
      <c r="H17" s="25"/>
      <c r="I17" s="5" t="s">
        <v>20</v>
      </c>
      <c r="N17" s="53"/>
      <c r="R17" s="53"/>
      <c r="X17" s="54"/>
      <c r="Z17" s="54"/>
      <c r="AA17" s="59"/>
      <c r="AB17" s="27" t="s">
        <v>33</v>
      </c>
    </row>
    <row r="18" spans="2:28" ht="20.45" customHeight="1" x14ac:dyDescent="0.25">
      <c r="B18" s="48" t="s">
        <v>43</v>
      </c>
      <c r="C18" s="3"/>
      <c r="D18" s="3"/>
      <c r="E18" s="3"/>
      <c r="F18" s="192"/>
      <c r="G18" s="192"/>
      <c r="H18" s="143"/>
      <c r="I18" s="5" t="s">
        <v>20</v>
      </c>
      <c r="K18" s="44" t="s">
        <v>44</v>
      </c>
      <c r="L18" s="4"/>
      <c r="M18" s="4"/>
      <c r="N18" s="76"/>
      <c r="O18" s="4"/>
      <c r="P18" s="4"/>
      <c r="Q18" s="4"/>
      <c r="R18" s="76"/>
      <c r="S18" s="4"/>
      <c r="T18" s="4"/>
      <c r="U18" s="4"/>
      <c r="V18" s="4"/>
      <c r="W18" s="4"/>
      <c r="X18" s="64"/>
      <c r="Y18" s="4"/>
      <c r="Z18" s="64"/>
      <c r="AA18" s="68"/>
    </row>
    <row r="19" spans="2:28" ht="12.95" customHeight="1" x14ac:dyDescent="0.25">
      <c r="B19" s="14" t="s">
        <v>45</v>
      </c>
      <c r="C19" s="15" t="s">
        <v>46</v>
      </c>
      <c r="D19" s="13">
        <f>SUM(2/5)</f>
        <v>0.4</v>
      </c>
      <c r="E19" s="164"/>
      <c r="F19" s="164"/>
      <c r="G19" s="138" t="s">
        <v>47</v>
      </c>
      <c r="H19" s="11"/>
      <c r="I19" s="5" t="s">
        <v>20</v>
      </c>
      <c r="L19" t="s">
        <v>48</v>
      </c>
      <c r="M19">
        <v>5625</v>
      </c>
      <c r="N19" s="53"/>
      <c r="R19" s="53"/>
      <c r="X19" s="54"/>
      <c r="Z19" s="54"/>
      <c r="AA19" s="59"/>
    </row>
    <row r="20" spans="2:28" x14ac:dyDescent="0.25">
      <c r="B20" s="8"/>
      <c r="C20" s="147" t="s">
        <v>49</v>
      </c>
      <c r="D20" s="16">
        <v>54</v>
      </c>
      <c r="E20" s="164">
        <v>22</v>
      </c>
      <c r="F20" s="164">
        <v>276</v>
      </c>
      <c r="G20" s="138" t="s">
        <v>50</v>
      </c>
      <c r="H20" s="11"/>
      <c r="I20" s="5" t="s">
        <v>20</v>
      </c>
      <c r="L20" t="s">
        <v>51</v>
      </c>
      <c r="M20">
        <f>M19-M24</f>
        <v>5222</v>
      </c>
      <c r="N20" s="53">
        <f>((1-D28)*M20)</f>
        <v>2872.1000000000004</v>
      </c>
      <c r="O20">
        <f>C10</f>
        <v>3887000</v>
      </c>
      <c r="P20">
        <f>N20/O20</f>
        <v>7.3889889374839212E-4</v>
      </c>
      <c r="R20" s="53">
        <f>D28*M20</f>
        <v>2349.9</v>
      </c>
      <c r="S20" s="2">
        <f>C13</f>
        <v>846000</v>
      </c>
      <c r="T20">
        <f>R20/S20</f>
        <v>2.7776595744680851E-3</v>
      </c>
      <c r="V20">
        <f>T20-P20</f>
        <v>2.038760680719693E-3</v>
      </c>
      <c r="X20" s="54">
        <f>V20*S20</f>
        <v>1724.7915358888604</v>
      </c>
      <c r="Z20" s="54">
        <f>X20*E15</f>
        <v>409.15041446541886</v>
      </c>
      <c r="AA20" s="59">
        <f>Z20*D31*E29</f>
        <v>1486146.8261862195</v>
      </c>
    </row>
    <row r="21" spans="2:28" ht="15" customHeight="1" x14ac:dyDescent="0.25">
      <c r="B21" s="8"/>
      <c r="C21" s="15" t="s">
        <v>52</v>
      </c>
      <c r="D21">
        <v>26</v>
      </c>
      <c r="E21" s="164">
        <v>10.1</v>
      </c>
      <c r="F21" s="164">
        <v>35.9</v>
      </c>
      <c r="G21" s="138" t="s">
        <v>53</v>
      </c>
      <c r="H21" s="11"/>
      <c r="I21" s="5" t="s">
        <v>20</v>
      </c>
      <c r="N21" s="53"/>
      <c r="R21" s="53"/>
      <c r="X21" s="54"/>
      <c r="Z21" s="54"/>
      <c r="AA21" s="59"/>
    </row>
    <row r="22" spans="2:28" ht="15.95" customHeight="1" x14ac:dyDescent="0.25">
      <c r="B22" s="8"/>
      <c r="C22" s="15"/>
      <c r="H22" s="11"/>
      <c r="I22" s="5" t="s">
        <v>20</v>
      </c>
      <c r="N22" s="53"/>
      <c r="R22" s="53"/>
      <c r="X22" s="54"/>
      <c r="Z22" s="54"/>
      <c r="AA22" s="59"/>
      <c r="AB22" s="1" t="s">
        <v>54</v>
      </c>
    </row>
    <row r="23" spans="2:28" ht="24.6" customHeight="1" x14ac:dyDescent="0.25">
      <c r="B23" s="17" t="s">
        <v>55</v>
      </c>
      <c r="C23" s="15" t="s">
        <v>56</v>
      </c>
      <c r="D23" s="13">
        <f>SUM(2/5)</f>
        <v>0.4</v>
      </c>
      <c r="E23" s="164"/>
      <c r="F23" s="164"/>
      <c r="G23" s="138" t="s">
        <v>47</v>
      </c>
      <c r="H23" s="11"/>
      <c r="I23" s="5" t="s">
        <v>20</v>
      </c>
      <c r="N23" s="53"/>
      <c r="R23" s="53"/>
      <c r="X23" s="54"/>
      <c r="Z23" s="54"/>
      <c r="AA23" s="59"/>
    </row>
    <row r="24" spans="2:28" ht="17.45" customHeight="1" x14ac:dyDescent="0.25">
      <c r="B24" s="8"/>
      <c r="C24" s="15" t="s">
        <v>57</v>
      </c>
      <c r="D24" s="16">
        <v>52.62</v>
      </c>
      <c r="E24" s="164"/>
      <c r="F24" s="164"/>
      <c r="G24" s="138" t="s">
        <v>58</v>
      </c>
      <c r="H24" s="11"/>
      <c r="I24" s="5" t="s">
        <v>20</v>
      </c>
      <c r="L24" t="s">
        <v>59</v>
      </c>
      <c r="M24">
        <v>403</v>
      </c>
      <c r="N24" s="53">
        <f>((1-D28)*M24)</f>
        <v>221.65</v>
      </c>
      <c r="O24">
        <f>C10</f>
        <v>3887000</v>
      </c>
      <c r="P24">
        <f>N24/O24</f>
        <v>5.7023411371237462E-5</v>
      </c>
      <c r="R24" s="53">
        <f>D28*M24</f>
        <v>181.35</v>
      </c>
      <c r="S24" s="2">
        <f>C13</f>
        <v>846000</v>
      </c>
      <c r="T24">
        <f>R24/S24</f>
        <v>2.1436170212765958E-4</v>
      </c>
      <c r="V24">
        <f>T24-P24</f>
        <v>1.5733829075642212E-4</v>
      </c>
      <c r="X24" s="54">
        <f>V24*S24</f>
        <v>133.10819397993311</v>
      </c>
      <c r="Z24" s="54">
        <f>X24*E15</f>
        <v>31.575568178775139</v>
      </c>
      <c r="AA24" s="59">
        <f>Z24*D31*E32</f>
        <v>436918.65620035841</v>
      </c>
    </row>
    <row r="25" spans="2:28" ht="24" x14ac:dyDescent="0.25">
      <c r="B25" s="8"/>
      <c r="C25" s="147" t="s">
        <v>274</v>
      </c>
      <c r="D25">
        <f>2.7*365</f>
        <v>985.50000000000011</v>
      </c>
      <c r="E25" s="164">
        <v>182.5</v>
      </c>
      <c r="F25" s="164">
        <v>1826</v>
      </c>
      <c r="G25" s="138" t="s">
        <v>61</v>
      </c>
      <c r="H25" s="11"/>
      <c r="I25" s="5" t="s">
        <v>20</v>
      </c>
      <c r="N25" s="53"/>
      <c r="R25" s="53"/>
      <c r="X25" s="54"/>
      <c r="Z25" s="54"/>
      <c r="AA25" s="59"/>
    </row>
    <row r="26" spans="2:28" ht="26.45" customHeight="1" x14ac:dyDescent="0.25">
      <c r="B26" s="8"/>
      <c r="C26" s="147"/>
      <c r="G26" s="138"/>
      <c r="H26" s="11"/>
      <c r="I26" s="5" t="s">
        <v>20</v>
      </c>
      <c r="N26" s="53"/>
      <c r="R26" s="53"/>
      <c r="X26" s="54"/>
      <c r="Z26" s="54"/>
      <c r="AA26" s="59"/>
    </row>
    <row r="27" spans="2:28" x14ac:dyDescent="0.25">
      <c r="B27" s="49" t="s">
        <v>44</v>
      </c>
      <c r="C27" s="148"/>
      <c r="D27" s="4"/>
      <c r="E27" s="4"/>
      <c r="F27" s="4"/>
      <c r="G27" s="4"/>
      <c r="H27" s="18"/>
      <c r="I27" s="5" t="s">
        <v>20</v>
      </c>
      <c r="J27" s="33"/>
      <c r="N27" s="53"/>
      <c r="R27" s="53"/>
      <c r="X27" s="54"/>
      <c r="Z27" s="54"/>
      <c r="AA27" s="59"/>
    </row>
    <row r="28" spans="2:28" ht="24.6" customHeight="1" x14ac:dyDescent="0.25">
      <c r="B28" s="8"/>
      <c r="C28" s="15" t="s">
        <v>63</v>
      </c>
      <c r="D28">
        <v>0.45</v>
      </c>
      <c r="G28" s="138" t="s">
        <v>64</v>
      </c>
      <c r="H28" s="11"/>
      <c r="I28" s="5" t="s">
        <v>20</v>
      </c>
      <c r="J28" s="29" t="s">
        <v>65</v>
      </c>
      <c r="K28" s="28"/>
      <c r="L28" s="28"/>
      <c r="M28" s="28"/>
      <c r="N28" s="77"/>
      <c r="O28" s="28"/>
      <c r="P28" s="28"/>
      <c r="Q28" s="28"/>
      <c r="R28" s="77"/>
      <c r="S28" s="28"/>
      <c r="T28" s="28"/>
      <c r="U28" s="28"/>
      <c r="V28" s="28"/>
      <c r="W28" s="28"/>
      <c r="X28" s="65"/>
      <c r="Y28" s="28"/>
      <c r="Z28" s="65"/>
      <c r="AA28" s="69"/>
    </row>
    <row r="29" spans="2:28" ht="14.45" customHeight="1" x14ac:dyDescent="0.25">
      <c r="B29" s="8"/>
      <c r="C29" s="15" t="s">
        <v>66</v>
      </c>
      <c r="D29">
        <f>30*4.7</f>
        <v>141</v>
      </c>
      <c r="E29">
        <f>2.1*30</f>
        <v>63</v>
      </c>
      <c r="F29">
        <f>11.3*30</f>
        <v>339</v>
      </c>
      <c r="G29" s="38" t="s">
        <v>67</v>
      </c>
      <c r="H29" s="163"/>
      <c r="I29" s="5" t="s">
        <v>20</v>
      </c>
      <c r="K29" s="45" t="s">
        <v>68</v>
      </c>
      <c r="L29" s="30"/>
      <c r="M29" s="30"/>
      <c r="N29" s="78"/>
      <c r="O29" s="30"/>
      <c r="P29" s="30"/>
      <c r="Q29" s="30"/>
      <c r="R29" s="78"/>
      <c r="S29" s="30"/>
      <c r="T29" s="30"/>
      <c r="U29" s="30"/>
      <c r="V29" s="30"/>
      <c r="W29" s="30"/>
      <c r="X29" s="66"/>
      <c r="Y29" s="30"/>
      <c r="Z29" s="66"/>
      <c r="AA29" s="70"/>
    </row>
    <row r="30" spans="2:28" ht="24.75" x14ac:dyDescent="0.25">
      <c r="B30" s="8"/>
      <c r="C30" s="15" t="s">
        <v>69</v>
      </c>
      <c r="D30" s="19">
        <v>20571</v>
      </c>
      <c r="G30" s="138" t="s">
        <v>70</v>
      </c>
      <c r="H30" s="11"/>
      <c r="I30" s="5" t="s">
        <v>20</v>
      </c>
      <c r="J30" s="33"/>
      <c r="M30" s="53">
        <f>D40</f>
        <v>116627</v>
      </c>
      <c r="N30" s="53">
        <f>(1-D37)*M30</f>
        <v>84321.320999999996</v>
      </c>
      <c r="O30" s="53">
        <f>E41</f>
        <v>2507013.44</v>
      </c>
      <c r="P30">
        <f>N30/O30</f>
        <v>3.3634171901368026E-2</v>
      </c>
      <c r="R30" s="53">
        <f>M30*D37</f>
        <v>32305.679000000004</v>
      </c>
      <c r="S30" s="2">
        <f>E44</f>
        <v>652533.10486865148</v>
      </c>
      <c r="T30">
        <f>R30/S30</f>
        <v>4.9508107341929911E-2</v>
      </c>
      <c r="V30">
        <f>T30-P30</f>
        <v>1.5873935440561884E-2</v>
      </c>
      <c r="X30" s="54">
        <f>V30*S30</f>
        <v>10358.268379514371</v>
      </c>
      <c r="Z30" s="54">
        <f>X30*E15</f>
        <v>2457.1605973462033</v>
      </c>
      <c r="AA30" s="59">
        <f>Z30*E38</f>
        <v>62952454.504009731</v>
      </c>
      <c r="AB30" s="27" t="s">
        <v>71</v>
      </c>
    </row>
    <row r="31" spans="2:28" ht="28.5" customHeight="1" x14ac:dyDescent="0.25">
      <c r="B31" s="8"/>
      <c r="C31" s="15" t="s">
        <v>72</v>
      </c>
      <c r="D31" s="16">
        <f>D30/365*1.023</f>
        <v>57.655158904109584</v>
      </c>
      <c r="G31" s="138"/>
      <c r="H31" s="11"/>
      <c r="I31" s="5" t="s">
        <v>20</v>
      </c>
      <c r="N31" s="53"/>
      <c r="R31" s="53"/>
      <c r="Z31" s="54"/>
      <c r="AA31" s="59"/>
    </row>
    <row r="32" spans="2:28" x14ac:dyDescent="0.25">
      <c r="B32" s="8"/>
      <c r="C32" s="15" t="s">
        <v>73</v>
      </c>
      <c r="D32">
        <v>365</v>
      </c>
      <c r="E32" s="161">
        <f>8*30</f>
        <v>240</v>
      </c>
      <c r="F32">
        <v>365</v>
      </c>
      <c r="G32" s="38" t="s">
        <v>74</v>
      </c>
      <c r="H32" s="11"/>
      <c r="I32" s="5" t="s">
        <v>20</v>
      </c>
      <c r="N32" s="53"/>
      <c r="R32" s="53"/>
      <c r="Z32" s="54"/>
      <c r="AA32" s="59"/>
    </row>
    <row r="33" spans="2:28" x14ac:dyDescent="0.25">
      <c r="B33" s="8"/>
      <c r="C33" s="15"/>
      <c r="H33" s="11"/>
      <c r="I33" s="5" t="s">
        <v>20</v>
      </c>
      <c r="N33" s="53"/>
      <c r="R33" s="53"/>
      <c r="AA33" s="59"/>
    </row>
    <row r="34" spans="2:28" x14ac:dyDescent="0.25">
      <c r="B34" s="8"/>
      <c r="H34" s="11"/>
      <c r="I34" s="5" t="s">
        <v>20</v>
      </c>
      <c r="K34" s="81" t="s">
        <v>75</v>
      </c>
      <c r="L34" s="82"/>
      <c r="M34" s="82"/>
      <c r="N34" s="85"/>
      <c r="O34" s="82"/>
      <c r="P34" s="82"/>
      <c r="Q34" s="82"/>
      <c r="R34" s="85"/>
      <c r="S34" s="82"/>
      <c r="T34" s="82"/>
      <c r="U34" s="82"/>
      <c r="V34" s="82"/>
      <c r="W34" s="82"/>
      <c r="X34" s="82"/>
      <c r="Y34" s="82"/>
      <c r="Z34" s="82"/>
      <c r="AA34" s="86"/>
    </row>
    <row r="35" spans="2:28" x14ac:dyDescent="0.25">
      <c r="B35" s="35" t="s">
        <v>65</v>
      </c>
      <c r="C35" s="29"/>
      <c r="D35" s="29"/>
      <c r="E35" s="29"/>
      <c r="F35" s="29"/>
      <c r="G35" s="29"/>
      <c r="H35" s="36"/>
      <c r="I35" s="5" t="s">
        <v>20</v>
      </c>
      <c r="L35" t="s">
        <v>76</v>
      </c>
      <c r="M35" s="53"/>
      <c r="N35" s="53"/>
      <c r="O35" s="53"/>
      <c r="R35" s="53"/>
      <c r="S35" s="53"/>
      <c r="X35" s="96">
        <f>S30-R30</f>
        <v>620227.42586865148</v>
      </c>
      <c r="Z35" s="54">
        <f>X35*E15</f>
        <v>147128.68371434911</v>
      </c>
      <c r="AA35" s="59">
        <f>Z35*E49*E47</f>
        <v>37702607.973904245</v>
      </c>
      <c r="AB35" s="27" t="s">
        <v>71</v>
      </c>
    </row>
    <row r="36" spans="2:28" x14ac:dyDescent="0.25">
      <c r="B36" s="50" t="s">
        <v>68</v>
      </c>
      <c r="C36" s="149"/>
      <c r="D36" s="30"/>
      <c r="E36" s="30"/>
      <c r="F36" s="30"/>
      <c r="G36" s="30"/>
      <c r="H36" s="37"/>
      <c r="I36" s="5" t="s">
        <v>20</v>
      </c>
      <c r="N36" s="53"/>
      <c r="R36" s="53"/>
      <c r="Z36" s="54"/>
      <c r="AA36" s="59"/>
    </row>
    <row r="37" spans="2:28" x14ac:dyDescent="0.25">
      <c r="B37" s="8"/>
      <c r="C37" s="15" t="s">
        <v>77</v>
      </c>
      <c r="D37">
        <v>0.27700000000000002</v>
      </c>
      <c r="E37" s="157"/>
      <c r="F37" s="157"/>
      <c r="G37" s="138" t="s">
        <v>19</v>
      </c>
      <c r="H37" s="11"/>
      <c r="I37" s="5" t="s">
        <v>20</v>
      </c>
      <c r="N37" s="53"/>
      <c r="R37" s="53"/>
      <c r="Z37" s="54"/>
      <c r="AA37" s="59"/>
    </row>
    <row r="38" spans="2:28" ht="24.75" x14ac:dyDescent="0.25">
      <c r="B38" s="8"/>
      <c r="C38" s="15" t="s">
        <v>78</v>
      </c>
      <c r="D38" s="40">
        <v>46770</v>
      </c>
      <c r="E38">
        <v>25620</v>
      </c>
      <c r="F38">
        <v>56250</v>
      </c>
      <c r="G38" s="38" t="s">
        <v>79</v>
      </c>
      <c r="H38" s="11"/>
      <c r="I38" s="5" t="s">
        <v>20</v>
      </c>
      <c r="N38" s="53"/>
      <c r="R38" s="53"/>
      <c r="Z38" s="54"/>
      <c r="AA38" s="59"/>
    </row>
    <row r="39" spans="2:28" x14ac:dyDescent="0.25">
      <c r="B39" s="8"/>
      <c r="C39" s="15" t="s">
        <v>80</v>
      </c>
      <c r="D39">
        <v>3387856</v>
      </c>
      <c r="G39" s="38" t="s">
        <v>81</v>
      </c>
      <c r="H39" s="11"/>
      <c r="I39" s="5" t="s">
        <v>20</v>
      </c>
      <c r="L39" t="s">
        <v>82</v>
      </c>
      <c r="M39" s="53"/>
      <c r="N39" s="53"/>
      <c r="O39" s="53"/>
      <c r="R39" s="53"/>
      <c r="S39" s="53"/>
      <c r="X39" s="54">
        <f>S30-R30</f>
        <v>620227.42586865148</v>
      </c>
      <c r="Z39" s="54">
        <f>X39*E15</f>
        <v>147128.68371434911</v>
      </c>
      <c r="AA39" s="59">
        <f>Z39*E52*E47</f>
        <v>282769559.80428183</v>
      </c>
      <c r="AB39" s="27" t="s">
        <v>71</v>
      </c>
    </row>
    <row r="40" spans="2:28" x14ac:dyDescent="0.25">
      <c r="B40" s="8"/>
      <c r="C40" s="15" t="s">
        <v>83</v>
      </c>
      <c r="D40" s="74">
        <v>116627</v>
      </c>
      <c r="G40" s="38" t="s">
        <v>81</v>
      </c>
      <c r="H40" s="11"/>
      <c r="I40" s="5" t="s">
        <v>20</v>
      </c>
      <c r="N40" s="53"/>
      <c r="R40" s="53"/>
      <c r="Z40" s="54"/>
      <c r="AA40" s="59"/>
    </row>
    <row r="41" spans="2:28" x14ac:dyDescent="0.25">
      <c r="B41" s="8"/>
      <c r="C41" s="15" t="s">
        <v>84</v>
      </c>
      <c r="D41" s="53">
        <f>D39*D10</f>
        <v>2618531.7701332271</v>
      </c>
      <c r="E41" s="53">
        <f>D39*E10</f>
        <v>2507013.44</v>
      </c>
      <c r="F41" s="53">
        <f>D39*F10</f>
        <v>2710284.8000000003</v>
      </c>
      <c r="G41" s="38"/>
      <c r="H41" s="11"/>
      <c r="I41" s="5" t="s">
        <v>20</v>
      </c>
      <c r="N41" s="53"/>
      <c r="R41" s="53"/>
      <c r="Z41" s="54"/>
      <c r="AA41" s="59"/>
    </row>
    <row r="42" spans="2:28" x14ac:dyDescent="0.25">
      <c r="B42" s="8"/>
      <c r="C42" s="15" t="s">
        <v>85</v>
      </c>
      <c r="D42" s="53">
        <f>D39-D41</f>
        <v>769324.22986677289</v>
      </c>
      <c r="E42" s="53">
        <f>D39-E41</f>
        <v>880842.56</v>
      </c>
      <c r="F42" s="53">
        <f>D39-F41</f>
        <v>677571.19999999972</v>
      </c>
      <c r="G42" s="38"/>
      <c r="H42" s="11"/>
      <c r="I42" s="5" t="s">
        <v>20</v>
      </c>
      <c r="N42" s="53"/>
      <c r="R42" s="53"/>
      <c r="AA42" s="59"/>
    </row>
    <row r="43" spans="2:28" x14ac:dyDescent="0.25">
      <c r="B43" s="8"/>
      <c r="C43" s="15" t="s">
        <v>86</v>
      </c>
      <c r="D43" s="13">
        <f>C13/C11</f>
        <v>0.74080560420315233</v>
      </c>
      <c r="G43" s="38"/>
      <c r="H43" s="11"/>
      <c r="I43" s="5" t="s">
        <v>20</v>
      </c>
      <c r="K43" s="46" t="s">
        <v>87</v>
      </c>
      <c r="L43" s="32"/>
      <c r="M43" s="32"/>
      <c r="N43" s="79"/>
      <c r="O43" s="32"/>
      <c r="P43" s="32"/>
      <c r="Q43" s="32"/>
      <c r="R43" s="79"/>
      <c r="S43" s="32"/>
      <c r="T43" s="32"/>
      <c r="U43" s="32"/>
      <c r="V43" s="32"/>
      <c r="W43" s="32"/>
      <c r="X43" s="32"/>
      <c r="Y43" s="32"/>
      <c r="Z43" s="32"/>
      <c r="AA43" s="71"/>
    </row>
    <row r="44" spans="2:28" x14ac:dyDescent="0.25">
      <c r="B44" s="8"/>
      <c r="C44" s="15" t="s">
        <v>275</v>
      </c>
      <c r="D44" s="53">
        <f>D43*D42</f>
        <v>569919.7009345796</v>
      </c>
      <c r="E44" s="53">
        <f>E42*D43</f>
        <v>652533.10486865148</v>
      </c>
      <c r="F44" s="53">
        <f>F42*D43</f>
        <v>501948.54220665479</v>
      </c>
      <c r="H44" s="11"/>
      <c r="I44" s="5" t="s">
        <v>20</v>
      </c>
      <c r="L44" t="s">
        <v>89</v>
      </c>
      <c r="M44">
        <v>15968</v>
      </c>
      <c r="N44" s="53">
        <f>M44-R44</f>
        <v>11886.578117856652</v>
      </c>
      <c r="O44" s="53">
        <f>E57</f>
        <v>3636149.1</v>
      </c>
      <c r="P44">
        <f>N44/O44</f>
        <v>3.2690018453469501E-3</v>
      </c>
      <c r="R44" s="53">
        <f>S44*D61</f>
        <v>4081.4218821433483</v>
      </c>
      <c r="S44" s="2">
        <f>E59</f>
        <v>697747.71500000008</v>
      </c>
      <c r="T44">
        <f>R44/S44</f>
        <v>5.8494235013630217E-3</v>
      </c>
      <c r="V44">
        <f>T44-P44</f>
        <v>2.5804216560160716E-3</v>
      </c>
      <c r="X44" s="54">
        <f>ABS(V44*S44)</f>
        <v>1800.4833142217301</v>
      </c>
      <c r="Z44" s="54">
        <v>8632.7999999999993</v>
      </c>
      <c r="AA44" s="72">
        <f>Z44*E62</f>
        <v>221172335.99999997</v>
      </c>
    </row>
    <row r="45" spans="2:28" x14ac:dyDescent="0.25">
      <c r="B45" s="8"/>
      <c r="C45" s="15"/>
      <c r="D45" s="53"/>
      <c r="H45" s="11"/>
      <c r="I45" s="5" t="s">
        <v>20</v>
      </c>
      <c r="S45" s="2"/>
      <c r="Z45" s="54"/>
      <c r="AA45" s="72"/>
    </row>
    <row r="46" spans="2:28" x14ac:dyDescent="0.25">
      <c r="B46" s="83" t="s">
        <v>75</v>
      </c>
      <c r="C46" s="82"/>
      <c r="D46" s="82"/>
      <c r="E46" s="82"/>
      <c r="F46" s="82"/>
      <c r="G46" s="82"/>
      <c r="H46" s="84"/>
      <c r="I46" s="5" t="s">
        <v>20</v>
      </c>
      <c r="S46" s="2"/>
      <c r="Z46" s="54"/>
      <c r="AA46" s="72"/>
    </row>
    <row r="47" spans="2:28" x14ac:dyDescent="0.25">
      <c r="B47" s="8"/>
      <c r="C47" s="15" t="s">
        <v>90</v>
      </c>
      <c r="D47">
        <v>22.49</v>
      </c>
      <c r="E47">
        <v>12.32</v>
      </c>
      <c r="F47">
        <v>27.05</v>
      </c>
      <c r="G47" s="38" t="s">
        <v>91</v>
      </c>
      <c r="H47" s="11"/>
      <c r="I47" s="5" t="s">
        <v>20</v>
      </c>
      <c r="AA47" s="59"/>
    </row>
    <row r="48" spans="2:28" ht="24.75" x14ac:dyDescent="0.25">
      <c r="B48" s="60" t="s">
        <v>92</v>
      </c>
      <c r="C48" s="15" t="s">
        <v>93</v>
      </c>
      <c r="D48">
        <v>0.6</v>
      </c>
      <c r="E48">
        <f>D48-0.2</f>
        <v>0.39999999999999997</v>
      </c>
      <c r="F48">
        <f>D48+0.2</f>
        <v>0.8</v>
      </c>
      <c r="G48" s="38" t="s">
        <v>94</v>
      </c>
      <c r="H48" s="11"/>
      <c r="I48" s="5" t="s">
        <v>20</v>
      </c>
      <c r="L48" t="s">
        <v>95</v>
      </c>
      <c r="M48" s="193" t="s">
        <v>96</v>
      </c>
      <c r="N48" s="193"/>
      <c r="O48" s="193"/>
      <c r="P48" s="193"/>
      <c r="Q48" s="193"/>
      <c r="R48" s="193"/>
      <c r="S48" s="193"/>
      <c r="T48" s="193"/>
      <c r="U48" s="193"/>
      <c r="V48" s="193"/>
      <c r="W48" s="193"/>
      <c r="X48" s="193"/>
      <c r="Y48" s="193"/>
      <c r="Z48" s="193"/>
      <c r="AA48" s="193"/>
    </row>
    <row r="49" spans="2:27" ht="24.75" x14ac:dyDescent="0.25">
      <c r="B49" s="8"/>
      <c r="C49" s="15" t="s">
        <v>97</v>
      </c>
      <c r="D49">
        <f>D48*52</f>
        <v>31.2</v>
      </c>
      <c r="E49">
        <f t="shared" ref="E49:F49" si="0">E48*52</f>
        <v>20.799999999999997</v>
      </c>
      <c r="F49">
        <f t="shared" si="0"/>
        <v>41.6</v>
      </c>
      <c r="G49" s="38"/>
      <c r="H49" s="11"/>
      <c r="I49" s="5" t="s">
        <v>20</v>
      </c>
      <c r="AA49" s="59"/>
    </row>
    <row r="50" spans="2:27" x14ac:dyDescent="0.25">
      <c r="B50" s="60" t="s">
        <v>98</v>
      </c>
      <c r="H50" s="11"/>
      <c r="I50" s="5" t="s">
        <v>20</v>
      </c>
      <c r="K50" s="47" t="s">
        <v>99</v>
      </c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73"/>
    </row>
    <row r="51" spans="2:27" ht="26.1" customHeight="1" x14ac:dyDescent="0.25">
      <c r="B51" s="61"/>
      <c r="C51" s="15" t="s">
        <v>100</v>
      </c>
      <c r="D51">
        <v>3.5</v>
      </c>
      <c r="E51">
        <f>D51-0.5</f>
        <v>3</v>
      </c>
      <c r="F51">
        <f>D51+0.5</f>
        <v>4</v>
      </c>
      <c r="G51" s="38" t="s">
        <v>94</v>
      </c>
      <c r="H51" s="11"/>
      <c r="I51" s="5" t="s">
        <v>20</v>
      </c>
      <c r="L51" t="s">
        <v>101</v>
      </c>
      <c r="X51">
        <f>D77</f>
        <v>131895</v>
      </c>
      <c r="Z51" s="54">
        <f>X51*E15</f>
        <v>31287.777562119096</v>
      </c>
      <c r="AA51" s="59">
        <f>Z51*E73*E76</f>
        <v>92203328.360021532</v>
      </c>
    </row>
    <row r="52" spans="2:27" x14ac:dyDescent="0.25">
      <c r="B52" s="8"/>
      <c r="C52" s="15" t="s">
        <v>102</v>
      </c>
      <c r="D52" s="2">
        <f>D51*52</f>
        <v>182</v>
      </c>
      <c r="E52" s="2">
        <f t="shared" ref="E52:F52" si="1">E51*52</f>
        <v>156</v>
      </c>
      <c r="F52" s="2">
        <f t="shared" si="1"/>
        <v>208</v>
      </c>
      <c r="G52" s="38"/>
      <c r="H52" s="11"/>
      <c r="I52" s="5" t="s">
        <v>20</v>
      </c>
      <c r="Z52" s="54"/>
      <c r="AA52" s="59"/>
    </row>
    <row r="53" spans="2:27" x14ac:dyDescent="0.25">
      <c r="B53" s="8"/>
      <c r="H53" s="11"/>
      <c r="I53" s="5" t="s">
        <v>20</v>
      </c>
      <c r="Z53" s="54"/>
      <c r="AA53" s="59"/>
    </row>
    <row r="54" spans="2:27" x14ac:dyDescent="0.25">
      <c r="B54" s="51" t="s">
        <v>87</v>
      </c>
      <c r="C54" s="32"/>
      <c r="D54" s="32"/>
      <c r="E54" s="32"/>
      <c r="F54" s="32"/>
      <c r="G54" s="32"/>
      <c r="H54" s="41"/>
      <c r="I54" s="5" t="s">
        <v>20</v>
      </c>
      <c r="Z54" s="54"/>
      <c r="AA54" s="59"/>
    </row>
    <row r="55" spans="2:27" x14ac:dyDescent="0.25">
      <c r="B55" s="8"/>
      <c r="C55" s="150" t="s">
        <v>103</v>
      </c>
      <c r="D55">
        <v>17552</v>
      </c>
      <c r="E55">
        <v>11764</v>
      </c>
      <c r="F55">
        <v>32092</v>
      </c>
      <c r="G55" s="38" t="s">
        <v>104</v>
      </c>
      <c r="H55" s="11"/>
      <c r="I55" s="5" t="s">
        <v>20</v>
      </c>
      <c r="L55" t="s">
        <v>105</v>
      </c>
      <c r="X55">
        <f>D77</f>
        <v>131895</v>
      </c>
      <c r="Z55" s="54">
        <f>X55*E15</f>
        <v>31287.777562119096</v>
      </c>
      <c r="AA55" s="59">
        <f>Z55*E79</f>
        <v>5228412.9026285475</v>
      </c>
    </row>
    <row r="56" spans="2:27" ht="36.75" x14ac:dyDescent="0.25">
      <c r="B56" s="8"/>
      <c r="C56" s="15" t="s">
        <v>106</v>
      </c>
      <c r="D56">
        <f>C5-115285</f>
        <v>4913715</v>
      </c>
      <c r="G56" s="38" t="s">
        <v>107</v>
      </c>
      <c r="H56" s="11"/>
      <c r="I56" s="5" t="s">
        <v>20</v>
      </c>
      <c r="Z56" s="54"/>
      <c r="AA56" s="59"/>
    </row>
    <row r="57" spans="2:27" x14ac:dyDescent="0.25">
      <c r="B57" s="8"/>
      <c r="C57" s="15" t="s">
        <v>108</v>
      </c>
      <c r="D57" s="53">
        <f>D56*D10</f>
        <v>3797894.2543249154</v>
      </c>
      <c r="E57">
        <f>D56*E10</f>
        <v>3636149.1</v>
      </c>
      <c r="F57">
        <f>D56*F10</f>
        <v>3930972</v>
      </c>
      <c r="G57" s="38"/>
      <c r="H57" s="11"/>
      <c r="I57" s="5" t="s">
        <v>20</v>
      </c>
      <c r="Z57" s="54"/>
      <c r="AA57" s="59"/>
    </row>
    <row r="58" spans="2:27" x14ac:dyDescent="0.25">
      <c r="B58" s="8"/>
      <c r="C58" s="15" t="s">
        <v>109</v>
      </c>
      <c r="D58" s="53">
        <f>D56*0.23</f>
        <v>1130154.45</v>
      </c>
      <c r="E58" s="53">
        <f>D56*E11</f>
        <v>987656.71500000008</v>
      </c>
      <c r="F58" s="53">
        <f>D56*F11</f>
        <v>1257911.04</v>
      </c>
      <c r="G58" s="38"/>
      <c r="H58" s="11"/>
      <c r="I58" s="5" t="s">
        <v>20</v>
      </c>
      <c r="AA58" s="59"/>
    </row>
    <row r="59" spans="2:27" ht="26.25" customHeight="1" x14ac:dyDescent="0.25">
      <c r="B59" s="8"/>
      <c r="C59" s="15" t="s">
        <v>110</v>
      </c>
      <c r="D59" s="53">
        <f>D58-289909</f>
        <v>840245.45</v>
      </c>
      <c r="E59" s="53">
        <f>E58-289909</f>
        <v>697747.71500000008</v>
      </c>
      <c r="F59" s="53">
        <f>F58-289909</f>
        <v>968002.04</v>
      </c>
      <c r="G59" s="38"/>
      <c r="H59" s="11"/>
      <c r="I59" s="5" t="s">
        <v>20</v>
      </c>
      <c r="J59" s="23" t="s">
        <v>111</v>
      </c>
      <c r="K59" s="28"/>
      <c r="L59" s="28"/>
      <c r="M59" s="28"/>
      <c r="N59" s="77"/>
      <c r="O59" s="28"/>
      <c r="P59" s="28"/>
      <c r="Q59" s="28"/>
      <c r="R59" s="77"/>
      <c r="S59" s="28"/>
      <c r="T59" s="28"/>
      <c r="U59" s="28"/>
      <c r="V59" s="28"/>
      <c r="W59" s="28"/>
      <c r="X59" s="65"/>
      <c r="Y59" s="28"/>
      <c r="Z59" s="65"/>
      <c r="AA59" s="69"/>
    </row>
    <row r="60" spans="2:27" ht="18.600000000000001" customHeight="1" x14ac:dyDescent="0.25">
      <c r="B60" s="8"/>
      <c r="C60" s="15" t="s">
        <v>112</v>
      </c>
      <c r="D60" s="151">
        <f>15968/D56</f>
        <v>3.2496797229794564E-3</v>
      </c>
      <c r="G60" s="38" t="s">
        <v>113</v>
      </c>
      <c r="H60" s="11"/>
      <c r="I60" s="5" t="s">
        <v>20</v>
      </c>
      <c r="J60" s="109"/>
      <c r="K60" s="111" t="s">
        <v>114</v>
      </c>
      <c r="L60" s="112"/>
      <c r="M60" s="112"/>
      <c r="N60" s="113"/>
      <c r="O60" s="112"/>
      <c r="P60" s="112"/>
      <c r="Q60" s="112"/>
      <c r="R60" s="113"/>
      <c r="S60" s="112"/>
      <c r="T60" s="112"/>
      <c r="U60" s="112"/>
      <c r="V60" s="112"/>
      <c r="W60" s="112"/>
      <c r="X60" s="114"/>
      <c r="Y60" s="112"/>
      <c r="Z60" s="114"/>
      <c r="AA60" s="115"/>
    </row>
    <row r="61" spans="2:27" x14ac:dyDescent="0.25">
      <c r="B61" s="8"/>
      <c r="C61" s="150" t="s">
        <v>115</v>
      </c>
      <c r="D61" s="56">
        <f>D60*1.8</f>
        <v>5.8494235013630217E-3</v>
      </c>
      <c r="G61" s="38" t="s">
        <v>116</v>
      </c>
      <c r="H61" s="11"/>
      <c r="I61" s="5" t="s">
        <v>20</v>
      </c>
      <c r="L61" t="s">
        <v>117</v>
      </c>
      <c r="X61">
        <f>C13*E85</f>
        <v>131130</v>
      </c>
      <c r="Z61" s="54">
        <f>X61*E15</f>
        <v>31106.306317302984</v>
      </c>
      <c r="AA61" s="59">
        <f>Z61*D84</f>
        <v>39369696.590494521</v>
      </c>
    </row>
    <row r="62" spans="2:27" ht="24.75" x14ac:dyDescent="0.25">
      <c r="B62" s="8"/>
      <c r="C62" s="15" t="s">
        <v>78</v>
      </c>
      <c r="D62" s="40">
        <v>46770</v>
      </c>
      <c r="E62">
        <v>25620</v>
      </c>
      <c r="F62">
        <v>56250</v>
      </c>
      <c r="G62" s="38" t="s">
        <v>79</v>
      </c>
      <c r="H62" s="11"/>
      <c r="I62" s="5" t="s">
        <v>20</v>
      </c>
      <c r="Z62" s="54"/>
      <c r="AA62" s="59"/>
    </row>
    <row r="63" spans="2:27" ht="24.75" x14ac:dyDescent="0.25">
      <c r="B63" s="8"/>
      <c r="C63" s="15" t="s">
        <v>118</v>
      </c>
      <c r="D63" s="104">
        <f>X44*D15</f>
        <v>482.52952821142367</v>
      </c>
      <c r="G63" s="38"/>
      <c r="H63" s="11"/>
      <c r="I63" s="5" t="s">
        <v>20</v>
      </c>
      <c r="Z63" s="54"/>
      <c r="AA63" s="59"/>
    </row>
    <row r="64" spans="2:27" ht="24.75" x14ac:dyDescent="0.25">
      <c r="B64" s="8"/>
      <c r="C64" s="15" t="s">
        <v>119</v>
      </c>
      <c r="D64" s="104">
        <f>X44*E15</f>
        <v>427.10581477445294</v>
      </c>
      <c r="G64" s="38"/>
      <c r="H64" s="11"/>
      <c r="I64" s="5" t="s">
        <v>20</v>
      </c>
      <c r="Z64" s="54"/>
      <c r="AA64" s="59"/>
    </row>
    <row r="65" spans="2:27" ht="24.75" x14ac:dyDescent="0.25">
      <c r="B65" s="8"/>
      <c r="C65" s="15" t="s">
        <v>120</v>
      </c>
      <c r="D65" s="104">
        <f>X44*F15</f>
        <v>543.97556508587036</v>
      </c>
      <c r="G65" s="38"/>
      <c r="H65" s="11"/>
      <c r="I65" s="5" t="s">
        <v>20</v>
      </c>
      <c r="L65" t="s">
        <v>121</v>
      </c>
      <c r="X65">
        <f>E88*C13</f>
        <v>454302</v>
      </c>
      <c r="Z65" s="54">
        <f>X65*E15</f>
        <v>107768.29995091421</v>
      </c>
      <c r="AA65" s="59">
        <f>Z65*E87</f>
        <v>150036643.71616206</v>
      </c>
    </row>
    <row r="66" spans="2:27" ht="36.75" x14ac:dyDescent="0.25">
      <c r="B66" s="8"/>
      <c r="C66" s="15" t="s">
        <v>122</v>
      </c>
      <c r="D66" s="104"/>
      <c r="G66" t="s">
        <v>123</v>
      </c>
      <c r="H66" s="11"/>
      <c r="I66" s="5" t="s">
        <v>20</v>
      </c>
      <c r="Z66" s="54"/>
      <c r="AA66" s="59"/>
    </row>
    <row r="67" spans="2:27" x14ac:dyDescent="0.25">
      <c r="B67" s="8"/>
      <c r="C67" s="15"/>
      <c r="G67" s="38"/>
      <c r="H67" s="11"/>
      <c r="I67" s="5" t="s">
        <v>20</v>
      </c>
      <c r="Z67" s="54"/>
      <c r="AA67" s="59"/>
    </row>
    <row r="68" spans="2:27" x14ac:dyDescent="0.25">
      <c r="B68" s="52" t="s">
        <v>99</v>
      </c>
      <c r="C68" s="34"/>
      <c r="D68" s="34"/>
      <c r="E68" s="34"/>
      <c r="F68" s="34"/>
      <c r="G68" s="34"/>
      <c r="H68" s="42"/>
      <c r="I68" s="5" t="s">
        <v>20</v>
      </c>
      <c r="AA68" s="59"/>
    </row>
    <row r="69" spans="2:27" x14ac:dyDescent="0.25">
      <c r="B69" s="60" t="s">
        <v>124</v>
      </c>
      <c r="C69" s="150" t="s">
        <v>125</v>
      </c>
      <c r="D69">
        <f>31.8-24.4</f>
        <v>7.4000000000000021</v>
      </c>
      <c r="E69">
        <f>29-24.4</f>
        <v>4.6000000000000014</v>
      </c>
      <c r="F69">
        <f>40-24.4</f>
        <v>15.600000000000001</v>
      </c>
      <c r="G69" s="38" t="s">
        <v>126</v>
      </c>
      <c r="H69" s="163"/>
      <c r="I69" s="5" t="s">
        <v>20</v>
      </c>
      <c r="Z69" s="31" t="s">
        <v>127</v>
      </c>
      <c r="AA69" s="59">
        <f>SUM(AA8:AA65)</f>
        <v>910335711.343876</v>
      </c>
    </row>
    <row r="70" spans="2:27" x14ac:dyDescent="0.25">
      <c r="B70" s="8"/>
      <c r="C70" s="150" t="s">
        <v>128</v>
      </c>
      <c r="D70">
        <v>0.45</v>
      </c>
      <c r="G70" s="38" t="s">
        <v>129</v>
      </c>
      <c r="H70" s="11"/>
      <c r="I70" s="97" t="s">
        <v>130</v>
      </c>
    </row>
    <row r="71" spans="2:27" x14ac:dyDescent="0.25">
      <c r="B71" s="8"/>
      <c r="C71" s="150" t="s">
        <v>90</v>
      </c>
      <c r="D71">
        <v>22.49</v>
      </c>
      <c r="E71">
        <v>12.32</v>
      </c>
      <c r="F71">
        <v>27.05</v>
      </c>
      <c r="G71" s="38" t="s">
        <v>91</v>
      </c>
      <c r="H71" s="11"/>
      <c r="I71" s="5" t="s">
        <v>20</v>
      </c>
    </row>
    <row r="72" spans="2:27" ht="24.75" x14ac:dyDescent="0.25">
      <c r="B72" s="8"/>
      <c r="C72" s="15" t="s">
        <v>131</v>
      </c>
      <c r="D72">
        <f>31.8-24.4</f>
        <v>7.4000000000000021</v>
      </c>
      <c r="E72">
        <f>29-24.4</f>
        <v>4.6000000000000014</v>
      </c>
      <c r="F72">
        <f>40-24.4</f>
        <v>15.600000000000001</v>
      </c>
      <c r="G72" s="38" t="s">
        <v>126</v>
      </c>
      <c r="H72" s="163"/>
      <c r="I72" s="5" t="s">
        <v>20</v>
      </c>
    </row>
    <row r="73" spans="2:27" x14ac:dyDescent="0.25">
      <c r="B73" s="8"/>
      <c r="C73" s="15" t="s">
        <v>132</v>
      </c>
      <c r="D73">
        <f>D72*52</f>
        <v>384.80000000000013</v>
      </c>
      <c r="E73">
        <f t="shared" ref="E73:F73" si="2">E72*52</f>
        <v>239.20000000000007</v>
      </c>
      <c r="F73">
        <f t="shared" si="2"/>
        <v>811.2</v>
      </c>
      <c r="G73" s="38"/>
      <c r="H73" s="11"/>
      <c r="I73" s="5" t="s">
        <v>20</v>
      </c>
    </row>
    <row r="74" spans="2:27" ht="24.75" x14ac:dyDescent="0.25">
      <c r="B74" s="8"/>
      <c r="C74" s="15" t="s">
        <v>133</v>
      </c>
      <c r="D74">
        <v>0.45</v>
      </c>
      <c r="G74" s="38" t="s">
        <v>129</v>
      </c>
      <c r="H74" s="11"/>
      <c r="I74" s="97" t="s">
        <v>130</v>
      </c>
    </row>
    <row r="75" spans="2:27" x14ac:dyDescent="0.25">
      <c r="B75" s="8"/>
      <c r="C75" s="15" t="s">
        <v>134</v>
      </c>
      <c r="D75">
        <v>850000</v>
      </c>
      <c r="G75" s="38" t="s">
        <v>135</v>
      </c>
      <c r="H75" s="11"/>
      <c r="I75" s="5" t="s">
        <v>20</v>
      </c>
    </row>
    <row r="76" spans="2:27" x14ac:dyDescent="0.25">
      <c r="B76" s="8"/>
      <c r="C76" s="15" t="s">
        <v>90</v>
      </c>
      <c r="D76">
        <v>22.49</v>
      </c>
      <c r="E76">
        <v>12.32</v>
      </c>
      <c r="F76">
        <v>27.05</v>
      </c>
      <c r="G76" s="38" t="s">
        <v>91</v>
      </c>
      <c r="H76" s="11"/>
      <c r="I76" s="5" t="s">
        <v>20</v>
      </c>
    </row>
    <row r="77" spans="2:27" x14ac:dyDescent="0.25">
      <c r="B77" s="8"/>
      <c r="C77" s="15" t="s">
        <v>136</v>
      </c>
      <c r="D77">
        <v>131895</v>
      </c>
      <c r="H77" s="11"/>
      <c r="I77" s="5" t="s">
        <v>20</v>
      </c>
    </row>
    <row r="78" spans="2:27" x14ac:dyDescent="0.25">
      <c r="B78" s="8"/>
      <c r="H78" s="11"/>
      <c r="I78" s="5" t="s">
        <v>20</v>
      </c>
    </row>
    <row r="79" spans="2:27" x14ac:dyDescent="0.25">
      <c r="B79" s="106" t="s">
        <v>137</v>
      </c>
      <c r="C79" s="150" t="s">
        <v>138</v>
      </c>
      <c r="D79" s="40">
        <f>D80*1.69*12</f>
        <v>358.95600000000002</v>
      </c>
      <c r="E79" s="40">
        <f t="shared" ref="E79:F79" si="3">E80*1.69*12</f>
        <v>167.10719999999998</v>
      </c>
      <c r="F79" s="40">
        <f t="shared" si="3"/>
        <v>191.84880000000001</v>
      </c>
      <c r="H79" s="11"/>
      <c r="I79" s="5" t="s">
        <v>20</v>
      </c>
    </row>
    <row r="80" spans="2:27" x14ac:dyDescent="0.25">
      <c r="B80" s="8"/>
      <c r="C80" s="152" t="s">
        <v>139</v>
      </c>
      <c r="D80">
        <f>SUM(E80+F80)</f>
        <v>17.700000000000003</v>
      </c>
      <c r="E80">
        <v>8.24</v>
      </c>
      <c r="F80">
        <v>9.4600000000000009</v>
      </c>
      <c r="G80" s="38" t="s">
        <v>140</v>
      </c>
      <c r="H80" s="11"/>
      <c r="I80" s="5" t="s">
        <v>20</v>
      </c>
      <c r="J80" s="80"/>
    </row>
    <row r="81" spans="2:12" x14ac:dyDescent="0.25">
      <c r="B81" s="8"/>
      <c r="C81" s="152"/>
      <c r="G81" s="38"/>
      <c r="H81" s="11"/>
    </row>
    <row r="82" spans="2:12" ht="28.5" customHeight="1" x14ac:dyDescent="0.25">
      <c r="B82" s="108" t="s">
        <v>141</v>
      </c>
      <c r="C82" s="153"/>
      <c r="D82" s="154"/>
      <c r="E82" s="154"/>
      <c r="F82" s="154"/>
      <c r="G82" s="139"/>
      <c r="H82" s="107"/>
    </row>
    <row r="83" spans="2:12" x14ac:dyDescent="0.25">
      <c r="B83" s="116" t="s">
        <v>142</v>
      </c>
      <c r="C83" s="117"/>
      <c r="D83" s="117"/>
      <c r="E83" s="117"/>
      <c r="F83" s="117"/>
      <c r="G83" s="117"/>
      <c r="H83" s="118"/>
      <c r="I83" s="5" t="s">
        <v>20</v>
      </c>
    </row>
    <row r="84" spans="2:12" ht="30" x14ac:dyDescent="0.25">
      <c r="B84" s="8"/>
      <c r="C84" s="6" t="s">
        <v>143</v>
      </c>
      <c r="D84" s="40">
        <v>1265.6500000000001</v>
      </c>
      <c r="H84" s="11"/>
      <c r="I84" s="5" t="s">
        <v>20</v>
      </c>
    </row>
    <row r="85" spans="2:12" x14ac:dyDescent="0.25">
      <c r="B85" s="8"/>
      <c r="C85" t="s">
        <v>144</v>
      </c>
      <c r="D85">
        <v>0.20699999999999999</v>
      </c>
      <c r="E85">
        <v>0.155</v>
      </c>
      <c r="F85">
        <v>0.27</v>
      </c>
      <c r="G85" s="38" t="s">
        <v>145</v>
      </c>
      <c r="H85" s="39"/>
      <c r="I85" s="5" t="s">
        <v>20</v>
      </c>
    </row>
    <row r="86" spans="2:12" x14ac:dyDescent="0.25">
      <c r="B86" s="8"/>
      <c r="G86" s="38"/>
      <c r="H86" s="39"/>
      <c r="I86" s="5" t="s">
        <v>20</v>
      </c>
    </row>
    <row r="87" spans="2:12" ht="30" x14ac:dyDescent="0.25">
      <c r="B87" s="8"/>
      <c r="C87" s="6" t="s">
        <v>146</v>
      </c>
      <c r="D87" s="22">
        <f>D84*1.7</f>
        <v>2151.605</v>
      </c>
      <c r="E87" s="22">
        <f>D84*1.1</f>
        <v>1392.2150000000001</v>
      </c>
      <c r="F87" s="22">
        <f>D84*2.1</f>
        <v>2657.8650000000002</v>
      </c>
      <c r="G87" s="38" t="s">
        <v>147</v>
      </c>
      <c r="H87" s="39"/>
      <c r="I87" s="97" t="s">
        <v>148</v>
      </c>
    </row>
    <row r="88" spans="2:12" ht="15.75" thickBot="1" x14ac:dyDescent="0.3">
      <c r="B88" s="20"/>
      <c r="C88" s="21" t="s">
        <v>149</v>
      </c>
      <c r="D88" s="21">
        <v>0.61299999999999999</v>
      </c>
      <c r="E88" s="21">
        <v>0.53700000000000003</v>
      </c>
      <c r="F88" s="21">
        <v>0.68300000000000005</v>
      </c>
      <c r="G88" s="140" t="s">
        <v>150</v>
      </c>
      <c r="H88" s="58"/>
      <c r="I88" s="5" t="s">
        <v>20</v>
      </c>
      <c r="K88" s="15"/>
      <c r="L88" s="13"/>
    </row>
    <row r="89" spans="2:12" x14ac:dyDescent="0.25">
      <c r="I89" s="5" t="s">
        <v>20</v>
      </c>
    </row>
    <row r="90" spans="2:12" x14ac:dyDescent="0.25">
      <c r="C90" t="s">
        <v>151</v>
      </c>
    </row>
  </sheetData>
  <mergeCells count="4">
    <mergeCell ref="B2:G3"/>
    <mergeCell ref="F18:G18"/>
    <mergeCell ref="M48:AA48"/>
    <mergeCell ref="J2:AB3"/>
  </mergeCells>
  <hyperlinks>
    <hyperlink ref="G21" r:id="rId1" xr:uid="{26989492-6006-4F6E-9DBD-BF98E85843AE}"/>
    <hyperlink ref="G24" r:id="rId2" xr:uid="{C73B0967-4EB6-4E29-BBD9-B19984E6C75D}"/>
    <hyperlink ref="G20" r:id="rId3" xr:uid="{222FDB7B-2641-44D2-B289-E93F7B978F04}"/>
    <hyperlink ref="G6" r:id="rId4" location="/ " xr:uid="{4D98CBAF-F95B-4D56-AAF5-24A1BDDF4888}"/>
    <hyperlink ref="G7" r:id="rId5" location="/ " xr:uid="{2AF80573-01F8-4FCF-BA70-E3A0FC0FAB16}"/>
    <hyperlink ref="AB8" r:id="rId6" display="https://nicic.gov/state-statistics/2019/indiana-2019" xr:uid="{ED7F722F-8E26-405F-829F-3FF055DF0B4C}"/>
    <hyperlink ref="AB17" r:id="rId7" xr:uid="{376EBEB1-5578-4929-B2A7-74D4AA7E57CA}"/>
    <hyperlink ref="AB22" r:id="rId8" xr:uid="{F51954F9-ECCD-4A0E-824D-CE254DF871C3}"/>
    <hyperlink ref="G38" r:id="rId9" xr:uid="{AC3ABA66-5BDB-41C2-8667-985B1A8A72CD}"/>
    <hyperlink ref="G19" r:id="rId10" xr:uid="{8FCAE58B-71F0-4AEC-82B1-7EA3F03112A3}"/>
    <hyperlink ref="G23" r:id="rId11" xr:uid="{83722F8C-B7E4-4602-B2A2-F5076C31F59C}"/>
    <hyperlink ref="G10" r:id="rId12" location="/ " xr:uid="{6E842705-9329-4252-8CF2-AB83470AC42C}"/>
    <hyperlink ref="G11" r:id="rId13" location="/ " xr:uid="{9EF2B431-A4AA-4974-B6BA-CE38DBC4AB55}"/>
    <hyperlink ref="G55" r:id="rId14" xr:uid="{6EBC1A0B-2664-47F2-ACCB-BC784C8F52E2}"/>
    <hyperlink ref="G71" r:id="rId15" display="https://www.bls.gov/oes/2019/may/oes_in.htm" xr:uid="{B521C224-19D1-4CF3-A82D-9AD721349F2C}"/>
    <hyperlink ref="G70" r:id="rId16" display="https://www.caregiving.org/wp-content/uploads/2020/05/NAC_Mental_Illness_Study_2016_FINAL_WEB.pdf " xr:uid="{3296C3E6-2FC8-4E74-A088-91D1D85534D7}"/>
    <hyperlink ref="G30" r:id="rId17" xr:uid="{D16B0C41-B785-43EA-A766-71EF9397C011}"/>
    <hyperlink ref="G47" r:id="rId18" display="https://www.bls.gov/oes/2019/may/oes_in.htm" xr:uid="{25D9CA50-144D-485E-9C79-7FDFE9287B6C}"/>
    <hyperlink ref="G48" r:id="rId19" display="https://pubmed.ncbi.nlm.nih.gov/12813119/" xr:uid="{92C8A697-8560-4124-B50D-B1A43305FA63}"/>
    <hyperlink ref="G51" r:id="rId20" xr:uid="{5A17754F-B919-4DE3-892F-7C6F1CD25CA6}"/>
    <hyperlink ref="G39" r:id="rId21" xr:uid="{11ABDBB1-732A-448B-9134-9FC81538B968}"/>
    <hyperlink ref="G62" r:id="rId22" xr:uid="{9F235405-0580-4FC5-A46D-840424725D83}"/>
    <hyperlink ref="G60" r:id="rId23" xr:uid="{7084C1A7-3D8A-4037-9A20-8FD8E2966A0A}"/>
    <hyperlink ref="AB30" r:id="rId24" xr:uid="{2E074835-063A-45A9-82F5-BDD484460767}"/>
    <hyperlink ref="AB35" r:id="rId25" xr:uid="{54E85CFD-6BDA-4528-A040-EAAD7CDF6FBD}"/>
    <hyperlink ref="AB39" r:id="rId26" xr:uid="{D62F0D3D-B0F8-42D2-A054-676503F77366}"/>
    <hyperlink ref="G76" r:id="rId27" display="https://www.bls.gov/oes/2019/may/oes_in.htm" xr:uid="{F5017763-2F02-46B1-BABA-29788A1475BB}"/>
    <hyperlink ref="G75" r:id="rId28" xr:uid="{AFDAEF2E-0223-4847-B091-80A7F962562D}"/>
    <hyperlink ref="G37" r:id="rId29" location="/ " xr:uid="{1F0827EE-C27F-470C-8218-1E7B73AC1488}"/>
    <hyperlink ref="G61" r:id="rId30" xr:uid="{474D6350-F96F-4666-85D9-068465F44D10}"/>
    <hyperlink ref="G80" r:id="rId31" xr:uid="{B5FB2708-9783-4545-9A2E-D3E23257CA14}"/>
    <hyperlink ref="G88" r:id="rId32" location="/survey/NSDUH-2018-2019-RD02YR?column=AMIYR_U&amp;control=STATE&amp;filter=STATE%3D18&amp;results_received=true&amp;row=PRVHLTIN&amp;run_chisq=false&amp;weight=DASWT_1 " xr:uid="{F10DD6F4-E32C-4FF3-A332-A4528C3E8248}"/>
    <hyperlink ref="G85" r:id="rId33" location="/survey/NSDUH-2018-2019-RD02YR?column=AMIYR_U&amp;control=STATE&amp;filter=STATE%3D18&amp;results_received=true&amp;row=CAIDCHIP&amp;run_chisq=false&amp;weight=DASWT_1 " xr:uid="{C87A797C-08E2-4994-B91E-D37BAE2D5FB5}"/>
    <hyperlink ref="G69" r:id="rId34" xr:uid="{F62A01D4-A584-4E07-9008-4EEDA10CEA05}"/>
    <hyperlink ref="G72" r:id="rId35" xr:uid="{619BFE7E-23F8-4D1A-8303-72713E8A7BA9}"/>
    <hyperlink ref="G74" r:id="rId36" display="https://www.caregiving.org/wp-content/uploads/2020/05/NAC_Mental_Illness_Study_2016_FINAL_WEB.pdf " xr:uid="{0D2BEB04-C379-48D2-8350-11B181685956}"/>
    <hyperlink ref="G28" r:id="rId37" xr:uid="{33F8A9E7-E14E-4E33-BF6B-C153401330C4}"/>
    <hyperlink ref="G56" r:id="rId38" xr:uid="{E275254E-D276-40E6-A985-867E2B9658B2}"/>
    <hyperlink ref="G25" r:id="rId39" display="https://bjs.ojp.gov/content/pub/pdf/tssp18.pdf" xr:uid="{1D7B6430-02AA-42C7-BF4B-CA9A9E4A3027}"/>
    <hyperlink ref="G32" r:id="rId40" location=":~:text=Chronic%20homelessness%20is%20used%20to,use%20disorder%2C%20or%20physical%20disability. " xr:uid="{D88C602B-CA9F-4FDB-98E7-8EC0F83B4DCC}"/>
    <hyperlink ref="G29" r:id="rId41" xr:uid="{365F89B2-23CD-4056-AAE1-9E8C0101C90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35825-0245-41BB-A435-898C85940A25}">
  <dimension ref="B1:AB97"/>
  <sheetViews>
    <sheetView topLeftCell="A50" zoomScale="60" zoomScaleNormal="60" workbookViewId="0">
      <selection activeCell="H50" sqref="H1:H1048576"/>
    </sheetView>
  </sheetViews>
  <sheetFormatPr defaultRowHeight="15" x14ac:dyDescent="0.25"/>
  <cols>
    <col min="2" max="2" width="25.140625" customWidth="1"/>
    <col min="3" max="3" width="40.85546875" customWidth="1"/>
    <col min="4" max="4" width="18.85546875" customWidth="1"/>
    <col min="5" max="6" width="12.42578125" bestFit="1" customWidth="1"/>
    <col min="7" max="7" width="51.140625" customWidth="1"/>
    <col min="8" max="8" width="18.5703125" customWidth="1"/>
    <col min="10" max="10" width="22.42578125" customWidth="1"/>
    <col min="11" max="11" width="32.5703125" bestFit="1" customWidth="1"/>
    <col min="12" max="12" width="20" style="87" customWidth="1"/>
    <col min="13" max="13" width="13.7109375" customWidth="1"/>
    <col min="14" max="14" width="13" customWidth="1"/>
    <col min="15" max="15" width="11.85546875" customWidth="1"/>
    <col min="16" max="16" width="12.5703125" customWidth="1"/>
    <col min="18" max="18" width="12.7109375" customWidth="1"/>
    <col min="19" max="19" width="12.42578125" customWidth="1"/>
    <col min="20" max="20" width="10.85546875" customWidth="1"/>
    <col min="22" max="22" width="11" bestFit="1" customWidth="1"/>
    <col min="24" max="24" width="13.7109375" customWidth="1"/>
    <col min="26" max="26" width="24.85546875" customWidth="1"/>
    <col min="27" max="27" width="26" bestFit="1" customWidth="1"/>
    <col min="28" max="28" width="23.5703125" customWidth="1"/>
  </cols>
  <sheetData>
    <row r="1" spans="2:28" ht="15.75" thickBot="1" x14ac:dyDescent="0.3"/>
    <row r="2" spans="2:28" ht="15" customHeight="1" x14ac:dyDescent="0.25">
      <c r="B2" s="188" t="s">
        <v>0</v>
      </c>
      <c r="C2" s="189"/>
      <c r="D2" s="189"/>
      <c r="E2" s="189"/>
      <c r="F2" s="189"/>
      <c r="G2" s="189"/>
      <c r="H2" s="141"/>
      <c r="J2" s="191" t="s">
        <v>1</v>
      </c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</row>
    <row r="3" spans="2:28" ht="14.45" customHeight="1" x14ac:dyDescent="0.25">
      <c r="B3" s="190"/>
      <c r="C3" s="191"/>
      <c r="D3" s="191"/>
      <c r="E3" s="191"/>
      <c r="F3" s="191"/>
      <c r="G3" s="191"/>
      <c r="H3" s="142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</row>
    <row r="4" spans="2:28" x14ac:dyDescent="0.25">
      <c r="B4" s="8"/>
      <c r="C4" s="145" t="s">
        <v>2</v>
      </c>
      <c r="D4" s="145" t="s">
        <v>3</v>
      </c>
      <c r="E4" s="145" t="s">
        <v>4</v>
      </c>
      <c r="F4" s="145" t="s">
        <v>5</v>
      </c>
      <c r="G4" s="145" t="s">
        <v>6</v>
      </c>
      <c r="H4" s="9"/>
    </row>
    <row r="5" spans="2:28" ht="44.1" customHeight="1" x14ac:dyDescent="0.25">
      <c r="B5" s="10" t="s">
        <v>7</v>
      </c>
      <c r="C5">
        <v>5029000</v>
      </c>
      <c r="H5" s="11"/>
      <c r="J5" s="23"/>
      <c r="K5" s="23"/>
      <c r="L5" s="88"/>
      <c r="M5" s="23"/>
      <c r="N5" s="23" t="s">
        <v>8</v>
      </c>
      <c r="O5" s="23" t="s">
        <v>8</v>
      </c>
      <c r="P5" s="23" t="s">
        <v>9</v>
      </c>
      <c r="Q5" s="23"/>
      <c r="R5" s="23" t="s">
        <v>10</v>
      </c>
      <c r="S5" s="23" t="s">
        <v>10</v>
      </c>
      <c r="T5" s="23" t="s">
        <v>11</v>
      </c>
      <c r="U5" s="23"/>
      <c r="V5" s="23" t="s">
        <v>12</v>
      </c>
      <c r="W5" s="23"/>
      <c r="X5" s="23" t="s">
        <v>13</v>
      </c>
      <c r="Y5" s="23"/>
      <c r="Z5" s="23" t="s">
        <v>14</v>
      </c>
      <c r="AA5" s="23" t="s">
        <v>15</v>
      </c>
      <c r="AB5" s="23" t="s">
        <v>6</v>
      </c>
    </row>
    <row r="6" spans="2:28" ht="36" customHeight="1" x14ac:dyDescent="0.25">
      <c r="B6" s="10" t="s">
        <v>18</v>
      </c>
      <c r="C6">
        <v>4733000</v>
      </c>
      <c r="D6">
        <v>94.1</v>
      </c>
      <c r="E6">
        <v>92.3</v>
      </c>
      <c r="F6">
        <v>95.5</v>
      </c>
      <c r="G6" s="138" t="s">
        <v>19</v>
      </c>
      <c r="H6" s="11"/>
      <c r="I6" s="5" t="s">
        <v>20</v>
      </c>
      <c r="J6" s="6"/>
      <c r="K6" s="6"/>
      <c r="M6" s="6" t="s">
        <v>21</v>
      </c>
      <c r="N6" s="7" t="s">
        <v>152</v>
      </c>
      <c r="O6" s="7" t="s">
        <v>153</v>
      </c>
      <c r="P6" s="7" t="s">
        <v>154</v>
      </c>
      <c r="Q6" s="7"/>
      <c r="R6" s="7" t="s">
        <v>155</v>
      </c>
      <c r="S6" s="7" t="s">
        <v>156</v>
      </c>
      <c r="T6" s="7" t="s">
        <v>157</v>
      </c>
      <c r="U6" s="6"/>
      <c r="V6" s="6"/>
      <c r="W6" s="6"/>
      <c r="X6" s="6"/>
      <c r="Y6" s="6"/>
      <c r="Z6" s="6"/>
      <c r="AA6" s="6"/>
    </row>
    <row r="7" spans="2:28" ht="30" x14ac:dyDescent="0.25">
      <c r="B7" s="10" t="s">
        <v>28</v>
      </c>
      <c r="C7" s="2">
        <v>296000</v>
      </c>
      <c r="D7">
        <v>5.9</v>
      </c>
      <c r="E7">
        <v>4.5</v>
      </c>
      <c r="F7">
        <v>7.7</v>
      </c>
      <c r="G7" s="138" t="s">
        <v>19</v>
      </c>
      <c r="H7" s="11"/>
      <c r="I7" s="5" t="s">
        <v>20</v>
      </c>
      <c r="J7" s="23" t="s">
        <v>29</v>
      </c>
      <c r="K7" s="43" t="s">
        <v>30</v>
      </c>
      <c r="L7" s="89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2:28" x14ac:dyDescent="0.25">
      <c r="B8" s="10" t="s">
        <v>31</v>
      </c>
      <c r="D8" s="13">
        <v>3.1</v>
      </c>
      <c r="E8" s="13">
        <f>E7*0.525</f>
        <v>2.3625000000000003</v>
      </c>
      <c r="F8" s="13">
        <f>F7*0.52</f>
        <v>4.0040000000000004</v>
      </c>
      <c r="H8" s="11"/>
      <c r="I8" s="5" t="s">
        <v>20</v>
      </c>
      <c r="L8" s="87" t="s">
        <v>32</v>
      </c>
      <c r="M8">
        <v>20880</v>
      </c>
      <c r="N8">
        <f>((1-E13)*M8)</f>
        <v>15576.48</v>
      </c>
      <c r="O8">
        <f>C6</f>
        <v>4733000</v>
      </c>
      <c r="P8">
        <f>N8/O8</f>
        <v>3.2910373969997886E-3</v>
      </c>
      <c r="R8">
        <f>E13*M8</f>
        <v>5303.52</v>
      </c>
      <c r="S8" s="2">
        <f>C7</f>
        <v>296000</v>
      </c>
      <c r="T8">
        <f>R8/S8</f>
        <v>1.79172972972973E-2</v>
      </c>
      <c r="V8">
        <f>T8-P8</f>
        <v>1.4626259900297511E-2</v>
      </c>
      <c r="X8" s="54">
        <f>V8*S8</f>
        <v>4329.3729304880635</v>
      </c>
      <c r="Z8" s="54">
        <f>X8*E9</f>
        <v>1733.5836522505172</v>
      </c>
      <c r="AA8" s="22">
        <f>Z8*E14*E15</f>
        <v>385202.28753006487</v>
      </c>
      <c r="AB8" s="27" t="s">
        <v>33</v>
      </c>
    </row>
    <row r="9" spans="2:28" ht="24.75" x14ac:dyDescent="0.25">
      <c r="B9" s="55" t="s">
        <v>158</v>
      </c>
      <c r="D9" s="146">
        <f>D8/D7</f>
        <v>0.52542372881355925</v>
      </c>
      <c r="E9" s="146">
        <f>E8/D7</f>
        <v>0.40042372881355937</v>
      </c>
      <c r="F9" s="146">
        <f>F8/D7</f>
        <v>0.67864406779661024</v>
      </c>
      <c r="H9" s="11"/>
      <c r="I9" s="5"/>
      <c r="Z9" s="54"/>
      <c r="AA9" s="22"/>
    </row>
    <row r="10" spans="2:28" x14ac:dyDescent="0.25">
      <c r="B10" s="8"/>
      <c r="H10" s="11"/>
      <c r="I10" s="5"/>
      <c r="Z10" s="54"/>
    </row>
    <row r="11" spans="2:28" ht="30" x14ac:dyDescent="0.25">
      <c r="B11" s="26" t="s">
        <v>29</v>
      </c>
      <c r="C11" s="24"/>
      <c r="D11" s="24"/>
      <c r="E11" s="24"/>
      <c r="F11" s="24"/>
      <c r="G11" s="24"/>
      <c r="H11" s="25"/>
      <c r="I11" s="5" t="s">
        <v>20</v>
      </c>
    </row>
    <row r="12" spans="2:28" ht="17.45" customHeight="1" x14ac:dyDescent="0.25">
      <c r="B12" s="48" t="s">
        <v>43</v>
      </c>
      <c r="C12" s="3"/>
      <c r="D12" s="3"/>
      <c r="E12" s="3"/>
      <c r="F12" s="192"/>
      <c r="G12" s="192"/>
      <c r="H12" s="143"/>
      <c r="I12" s="5" t="s">
        <v>20</v>
      </c>
      <c r="L12" s="87" t="s">
        <v>40</v>
      </c>
      <c r="M12">
        <v>27180</v>
      </c>
      <c r="N12">
        <f>((1-E17)*M12)</f>
        <v>23537.88</v>
      </c>
      <c r="O12">
        <f>C6</f>
        <v>4733000</v>
      </c>
      <c r="P12">
        <f>N12/O12</f>
        <v>4.9731417705472219E-3</v>
      </c>
      <c r="R12">
        <f>E17*M12</f>
        <v>3642.1200000000003</v>
      </c>
      <c r="S12" s="2">
        <f>C7</f>
        <v>296000</v>
      </c>
      <c r="T12">
        <f>R12/S12</f>
        <v>1.230445945945946E-2</v>
      </c>
      <c r="V12">
        <f>T12-P12</f>
        <v>7.3313176889122384E-3</v>
      </c>
      <c r="X12" s="54">
        <f>V12*S12</f>
        <v>2170.0700359180228</v>
      </c>
      <c r="Z12" s="54">
        <f>X12*E9</f>
        <v>868.9475355688694</v>
      </c>
      <c r="AA12" s="22">
        <f>Z12*D18*E19</f>
        <v>8344633.5261981869</v>
      </c>
      <c r="AB12" s="27" t="s">
        <v>33</v>
      </c>
    </row>
    <row r="13" spans="2:28" ht="20.45" customHeight="1" x14ac:dyDescent="0.25">
      <c r="B13" s="14" t="s">
        <v>45</v>
      </c>
      <c r="C13" s="15" t="s">
        <v>160</v>
      </c>
      <c r="D13">
        <v>0.26</v>
      </c>
      <c r="E13" s="164">
        <v>0.254</v>
      </c>
      <c r="F13" s="164">
        <v>0.27400000000000002</v>
      </c>
      <c r="G13" s="138" t="s">
        <v>161</v>
      </c>
      <c r="H13" s="11"/>
      <c r="I13" s="5" t="s">
        <v>20</v>
      </c>
      <c r="Z13" s="54"/>
    </row>
    <row r="14" spans="2:28" ht="12.95" customHeight="1" x14ac:dyDescent="0.25">
      <c r="B14" s="8"/>
      <c r="C14" s="147" t="s">
        <v>49</v>
      </c>
      <c r="D14" s="16">
        <v>54</v>
      </c>
      <c r="E14" s="164">
        <v>22</v>
      </c>
      <c r="F14" s="164">
        <v>276</v>
      </c>
      <c r="G14" s="138" t="s">
        <v>50</v>
      </c>
      <c r="H14" s="11"/>
      <c r="I14" s="5" t="s">
        <v>20</v>
      </c>
      <c r="Z14" s="54"/>
    </row>
    <row r="15" spans="2:28" x14ac:dyDescent="0.25">
      <c r="B15" s="8"/>
      <c r="C15" s="15" t="s">
        <v>52</v>
      </c>
      <c r="D15">
        <v>26</v>
      </c>
      <c r="E15" s="164">
        <v>10.1</v>
      </c>
      <c r="F15" s="164">
        <v>35.9</v>
      </c>
      <c r="G15" s="138" t="s">
        <v>53</v>
      </c>
      <c r="H15" s="11"/>
      <c r="I15" s="5" t="s">
        <v>20</v>
      </c>
    </row>
    <row r="16" spans="2:28" ht="15" customHeight="1" x14ac:dyDescent="0.25">
      <c r="B16" s="8"/>
      <c r="C16" s="15"/>
      <c r="E16" s="164"/>
      <c r="F16" s="164"/>
      <c r="H16" s="11"/>
      <c r="I16" s="5" t="s">
        <v>20</v>
      </c>
      <c r="K16" s="44" t="s">
        <v>44</v>
      </c>
      <c r="L16" s="90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2:28" ht="15.95" customHeight="1" x14ac:dyDescent="0.25">
      <c r="B17" s="17" t="s">
        <v>55</v>
      </c>
      <c r="C17" s="15" t="s">
        <v>162</v>
      </c>
      <c r="D17">
        <v>0.14299999999999999</v>
      </c>
      <c r="E17" s="164">
        <v>0.13400000000000001</v>
      </c>
      <c r="F17" s="164">
        <v>0.152</v>
      </c>
      <c r="G17" s="138" t="s">
        <v>161</v>
      </c>
      <c r="H17" s="11"/>
      <c r="I17" s="5" t="s">
        <v>20</v>
      </c>
      <c r="L17" s="87" t="s">
        <v>48</v>
      </c>
      <c r="M17">
        <v>5625</v>
      </c>
      <c r="AB17" s="1" t="s">
        <v>54</v>
      </c>
    </row>
    <row r="18" spans="2:28" ht="30" x14ac:dyDescent="0.25">
      <c r="B18" s="8"/>
      <c r="C18" s="15" t="s">
        <v>57</v>
      </c>
      <c r="D18" s="16">
        <v>52.62</v>
      </c>
      <c r="E18" s="164"/>
      <c r="F18" s="164"/>
      <c r="G18" s="138" t="s">
        <v>58</v>
      </c>
      <c r="H18" s="11"/>
      <c r="I18" s="5" t="s">
        <v>20</v>
      </c>
      <c r="L18" s="87" t="s">
        <v>51</v>
      </c>
      <c r="M18">
        <f>M17-M22</f>
        <v>5222</v>
      </c>
      <c r="N18">
        <f>((1-E22)*M18)</f>
        <v>4177.6000000000004</v>
      </c>
      <c r="O18">
        <f>C6</f>
        <v>4733000</v>
      </c>
      <c r="P18">
        <f>N18/O18</f>
        <v>8.8265370800760627E-4</v>
      </c>
      <c r="R18">
        <f>E22*M18</f>
        <v>1044.4000000000001</v>
      </c>
      <c r="S18" s="2">
        <f>C7</f>
        <v>296000</v>
      </c>
      <c r="T18">
        <f>R18/S18</f>
        <v>3.5283783783783785E-3</v>
      </c>
      <c r="V18">
        <f>T18-P18</f>
        <v>2.6457246703707723E-3</v>
      </c>
      <c r="X18" s="54">
        <f>V18*S18</f>
        <v>783.13450242974864</v>
      </c>
      <c r="Z18" s="54">
        <f>X18*E9</f>
        <v>313.58563762547141</v>
      </c>
      <c r="AA18" s="22">
        <f>Z18*D25*E23</f>
        <v>1139029.2753426139</v>
      </c>
    </row>
    <row r="19" spans="2:28" ht="24.6" customHeight="1" x14ac:dyDescent="0.25">
      <c r="B19" s="8"/>
      <c r="C19" s="147" t="s">
        <v>276</v>
      </c>
      <c r="D19">
        <f>2.7*365</f>
        <v>985.50000000000011</v>
      </c>
      <c r="E19" s="164">
        <v>182.5</v>
      </c>
      <c r="F19" s="164">
        <v>1826</v>
      </c>
      <c r="G19" s="138" t="s">
        <v>61</v>
      </c>
      <c r="H19" s="11"/>
      <c r="I19" s="5" t="s">
        <v>20</v>
      </c>
      <c r="Z19" s="54"/>
    </row>
    <row r="20" spans="2:28" x14ac:dyDescent="0.25">
      <c r="B20" s="8"/>
      <c r="C20" s="147"/>
      <c r="G20" s="138"/>
      <c r="H20" s="12"/>
      <c r="I20" s="5" t="s">
        <v>20</v>
      </c>
      <c r="Z20" s="54"/>
    </row>
    <row r="21" spans="2:28" ht="26.45" customHeight="1" x14ac:dyDescent="0.25">
      <c r="B21" s="49" t="s">
        <v>44</v>
      </c>
      <c r="C21" s="148"/>
      <c r="D21" s="4"/>
      <c r="E21" s="4"/>
      <c r="F21" s="4"/>
      <c r="G21" s="4"/>
      <c r="H21" s="18"/>
      <c r="I21" s="5" t="s">
        <v>20</v>
      </c>
    </row>
    <row r="22" spans="2:28" ht="30" x14ac:dyDescent="0.25">
      <c r="B22" s="8"/>
      <c r="C22" s="15" t="s">
        <v>164</v>
      </c>
      <c r="D22">
        <v>0.25</v>
      </c>
      <c r="E22">
        <v>0.2</v>
      </c>
      <c r="F22">
        <v>0.30399999999999999</v>
      </c>
      <c r="G22" s="138" t="s">
        <v>165</v>
      </c>
      <c r="H22" s="11"/>
      <c r="I22" s="5" t="s">
        <v>20</v>
      </c>
      <c r="L22" s="87" t="s">
        <v>59</v>
      </c>
      <c r="M22">
        <v>403</v>
      </c>
      <c r="N22">
        <f>((1-E22)*M22)</f>
        <v>322.40000000000003</v>
      </c>
      <c r="O22">
        <f>C6</f>
        <v>4733000</v>
      </c>
      <c r="P22">
        <f>N22/O22</f>
        <v>6.8117473061483214E-5</v>
      </c>
      <c r="R22">
        <f>E22*M22</f>
        <v>80.600000000000009</v>
      </c>
      <c r="S22" s="2">
        <f>C7</f>
        <v>296000</v>
      </c>
      <c r="T22">
        <f>R22/S22</f>
        <v>2.7229729729729731E-4</v>
      </c>
      <c r="V22">
        <f>T22-P22</f>
        <v>2.0417982423581409E-4</v>
      </c>
      <c r="X22" s="54">
        <f>V22*S22</f>
        <v>60.437227973800972</v>
      </c>
      <c r="Z22" s="54">
        <f>X22*E9</f>
        <v>24.200500184424545</v>
      </c>
      <c r="AA22" s="22">
        <f>Z22*D25*E26</f>
        <v>334868.08408606332</v>
      </c>
    </row>
    <row r="23" spans="2:28" ht="24.6" customHeight="1" x14ac:dyDescent="0.25">
      <c r="B23" s="8"/>
      <c r="C23" s="15" t="s">
        <v>66</v>
      </c>
      <c r="D23">
        <f>30*4.7</f>
        <v>141</v>
      </c>
      <c r="E23">
        <f>2.1*30</f>
        <v>63</v>
      </c>
      <c r="F23">
        <f>11.3*30</f>
        <v>339</v>
      </c>
      <c r="G23" s="38" t="s">
        <v>67</v>
      </c>
      <c r="H23" s="163"/>
      <c r="I23" s="97" t="s">
        <v>166</v>
      </c>
      <c r="Z23" s="54"/>
    </row>
    <row r="24" spans="2:28" ht="29.45" customHeight="1" x14ac:dyDescent="0.25">
      <c r="B24" s="8"/>
      <c r="C24" s="147" t="s">
        <v>167</v>
      </c>
      <c r="D24" s="19">
        <v>20571</v>
      </c>
      <c r="G24" s="138" t="s">
        <v>70</v>
      </c>
      <c r="H24" s="11"/>
      <c r="I24" s="5" t="s">
        <v>20</v>
      </c>
      <c r="Z24" s="54"/>
    </row>
    <row r="25" spans="2:28" ht="15.75" x14ac:dyDescent="0.25">
      <c r="B25" s="8"/>
      <c r="C25" s="15" t="s">
        <v>168</v>
      </c>
      <c r="D25" s="40">
        <f>D24/365*1.023</f>
        <v>57.655158904109584</v>
      </c>
      <c r="G25" s="138"/>
      <c r="H25" s="11"/>
      <c r="I25" s="5" t="s">
        <v>20</v>
      </c>
      <c r="J25" s="29" t="s">
        <v>65</v>
      </c>
      <c r="K25" s="28"/>
      <c r="L25" s="91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</row>
    <row r="26" spans="2:28" ht="18" customHeight="1" x14ac:dyDescent="0.25">
      <c r="B26" s="8"/>
      <c r="C26" s="15" t="s">
        <v>73</v>
      </c>
      <c r="D26">
        <v>365</v>
      </c>
      <c r="E26" s="97">
        <f>8*30</f>
        <v>240</v>
      </c>
      <c r="F26">
        <v>365</v>
      </c>
      <c r="G26" s="38" t="s">
        <v>74</v>
      </c>
      <c r="H26" s="11"/>
      <c r="I26" s="5" t="s">
        <v>166</v>
      </c>
      <c r="K26" s="45" t="s">
        <v>68</v>
      </c>
      <c r="L26" s="92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</row>
    <row r="27" spans="2:28" x14ac:dyDescent="0.25">
      <c r="B27" s="8"/>
      <c r="C27" s="15" t="s">
        <v>169</v>
      </c>
      <c r="D27">
        <v>2.3E-2</v>
      </c>
      <c r="H27" s="11"/>
      <c r="M27" s="53">
        <v>116627</v>
      </c>
      <c r="N27" s="54">
        <f>(1-D30)*M27</f>
        <v>105314.181</v>
      </c>
      <c r="O27" s="53">
        <f>E34</f>
        <v>3126991.088</v>
      </c>
      <c r="P27">
        <f>N27/O27</f>
        <v>3.3679079356557472E-2</v>
      </c>
      <c r="R27" s="53">
        <f>M27*D30</f>
        <v>11312.819</v>
      </c>
      <c r="S27" s="53">
        <f>E36</f>
        <v>67824.877120000005</v>
      </c>
      <c r="T27">
        <f>R27/S27</f>
        <v>0.16679453734924804</v>
      </c>
      <c r="V27" s="56">
        <f>T27-P27</f>
        <v>0.13311545799269056</v>
      </c>
      <c r="X27" s="54">
        <f>V27*S27</f>
        <v>9028.539581126759</v>
      </c>
      <c r="Z27" s="54">
        <f>X27*E9</f>
        <v>3615.2414848155881</v>
      </c>
      <c r="AA27" s="22">
        <f>Z27*E31</f>
        <v>92622486.840975374</v>
      </c>
      <c r="AB27" s="27" t="s">
        <v>71</v>
      </c>
    </row>
    <row r="28" spans="2:28" x14ac:dyDescent="0.25">
      <c r="B28" s="35" t="s">
        <v>65</v>
      </c>
      <c r="C28" s="29"/>
      <c r="D28" s="29"/>
      <c r="E28" s="29"/>
      <c r="F28" s="29"/>
      <c r="G28" s="29"/>
      <c r="H28" s="36"/>
      <c r="Z28" s="54"/>
    </row>
    <row r="29" spans="2:28" x14ac:dyDescent="0.25">
      <c r="B29" s="50" t="s">
        <v>68</v>
      </c>
      <c r="C29" s="149"/>
      <c r="D29" s="30"/>
      <c r="E29" s="30"/>
      <c r="F29" s="30"/>
      <c r="G29" s="30"/>
      <c r="H29" s="37"/>
      <c r="Z29" s="54"/>
    </row>
    <row r="30" spans="2:28" x14ac:dyDescent="0.25">
      <c r="B30" s="8"/>
      <c r="C30" s="15" t="s">
        <v>170</v>
      </c>
      <c r="D30" s="56">
        <v>9.7000000000000003E-2</v>
      </c>
      <c r="G30" s="138" t="s">
        <v>19</v>
      </c>
      <c r="H30" s="11"/>
      <c r="I30" s="5" t="s">
        <v>20</v>
      </c>
    </row>
    <row r="31" spans="2:28" x14ac:dyDescent="0.25">
      <c r="B31" s="8"/>
      <c r="C31" s="15" t="s">
        <v>78</v>
      </c>
      <c r="D31" s="57">
        <v>46770</v>
      </c>
      <c r="E31">
        <v>25620</v>
      </c>
      <c r="F31">
        <v>56250</v>
      </c>
      <c r="G31" s="38" t="s">
        <v>79</v>
      </c>
      <c r="H31" s="11"/>
      <c r="I31" s="5" t="s">
        <v>20</v>
      </c>
      <c r="K31" s="81" t="s">
        <v>75</v>
      </c>
      <c r="L31" s="93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</row>
    <row r="32" spans="2:28" x14ac:dyDescent="0.25">
      <c r="B32" s="8"/>
      <c r="C32" s="15" t="s">
        <v>80</v>
      </c>
      <c r="D32">
        <v>3387856</v>
      </c>
      <c r="G32" s="38" t="s">
        <v>81</v>
      </c>
      <c r="H32" s="11"/>
      <c r="I32" s="5" t="s">
        <v>20</v>
      </c>
      <c r="M32" s="53"/>
      <c r="N32" s="53"/>
      <c r="O32" s="53"/>
      <c r="P32" s="67"/>
      <c r="R32" s="2"/>
      <c r="S32" s="2"/>
      <c r="V32" s="56"/>
      <c r="X32" s="2">
        <f>S27-R27</f>
        <v>56512.058120000002</v>
      </c>
      <c r="Z32" s="54">
        <f>X32*E9</f>
        <v>22628.769035338984</v>
      </c>
      <c r="AA32" s="59">
        <f>Z32*E46*E40</f>
        <v>5798757.8379198276</v>
      </c>
    </row>
    <row r="33" spans="2:28" x14ac:dyDescent="0.25">
      <c r="B33" s="8"/>
      <c r="C33" s="15" t="s">
        <v>83</v>
      </c>
      <c r="D33" s="74">
        <v>116627</v>
      </c>
      <c r="G33" s="38" t="s">
        <v>81</v>
      </c>
      <c r="H33" s="11"/>
      <c r="I33" s="5" t="s">
        <v>20</v>
      </c>
      <c r="Z33" s="54"/>
    </row>
    <row r="34" spans="2:28" x14ac:dyDescent="0.25">
      <c r="B34" s="8"/>
      <c r="C34" s="15" t="s">
        <v>171</v>
      </c>
      <c r="D34" s="53">
        <f>D32*0.941</f>
        <v>3187972.4959999998</v>
      </c>
      <c r="E34" s="53">
        <f>D32*0.923</f>
        <v>3126991.088</v>
      </c>
      <c r="F34" s="53">
        <f>D32*0.955</f>
        <v>3235402.48</v>
      </c>
      <c r="G34" s="38"/>
      <c r="H34" s="11"/>
      <c r="I34" s="5" t="s">
        <v>20</v>
      </c>
      <c r="Z34" s="54"/>
    </row>
    <row r="35" spans="2:28" x14ac:dyDescent="0.25">
      <c r="B35" s="8"/>
      <c r="C35" s="15" t="s">
        <v>85</v>
      </c>
      <c r="D35" s="53">
        <f>D32-D34</f>
        <v>199883.50400000019</v>
      </c>
      <c r="E35" s="53">
        <f>D32-E34</f>
        <v>260864.91200000001</v>
      </c>
      <c r="F35" s="53">
        <f>D32-F34</f>
        <v>152453.52000000002</v>
      </c>
      <c r="G35" s="38"/>
      <c r="H35" s="11"/>
      <c r="I35" s="5" t="s">
        <v>20</v>
      </c>
      <c r="Z35" s="54"/>
    </row>
    <row r="36" spans="2:28" x14ac:dyDescent="0.25">
      <c r="B36" s="8"/>
      <c r="C36" s="15" t="s">
        <v>172</v>
      </c>
      <c r="D36" s="53">
        <f>D35*0.26</f>
        <v>51969.711040000053</v>
      </c>
      <c r="E36" s="53">
        <f t="shared" ref="E36:F36" si="0">E35*0.26</f>
        <v>67824.877120000005</v>
      </c>
      <c r="F36" s="53">
        <f t="shared" si="0"/>
        <v>39637.915200000003</v>
      </c>
      <c r="H36" s="11"/>
      <c r="I36" s="5" t="s">
        <v>20</v>
      </c>
    </row>
    <row r="37" spans="2:28" x14ac:dyDescent="0.25">
      <c r="B37" s="8"/>
      <c r="C37" s="15"/>
      <c r="D37" s="53"/>
      <c r="G37" s="38"/>
      <c r="H37" s="11"/>
      <c r="I37" s="5" t="s">
        <v>20</v>
      </c>
      <c r="M37" s="53"/>
      <c r="N37" s="53"/>
      <c r="O37" s="53"/>
      <c r="R37" s="2"/>
      <c r="S37" s="2"/>
      <c r="X37" s="2">
        <f>S27-R27</f>
        <v>56512.058120000002</v>
      </c>
      <c r="Z37" s="54">
        <f>X37*E9</f>
        <v>22628.769035338984</v>
      </c>
      <c r="AA37" s="59">
        <f>Z37*E50*E40</f>
        <v>52188820.541278437</v>
      </c>
    </row>
    <row r="38" spans="2:28" x14ac:dyDescent="0.25">
      <c r="B38" s="83" t="s">
        <v>75</v>
      </c>
      <c r="C38" s="82"/>
      <c r="D38" s="82"/>
      <c r="E38" s="82"/>
      <c r="F38" s="82"/>
      <c r="G38" s="82"/>
      <c r="H38" s="84"/>
      <c r="I38" s="5" t="s">
        <v>20</v>
      </c>
      <c r="Z38" s="54"/>
      <c r="AA38" s="59"/>
    </row>
    <row r="39" spans="2:28" x14ac:dyDescent="0.25">
      <c r="B39" s="63"/>
      <c r="C39" s="15" t="s">
        <v>173</v>
      </c>
      <c r="D39">
        <v>0.38100000000000001</v>
      </c>
      <c r="G39" s="38" t="s">
        <v>174</v>
      </c>
      <c r="H39" s="11"/>
      <c r="I39" s="5" t="s">
        <v>20</v>
      </c>
      <c r="Z39" s="54"/>
      <c r="AA39" s="59"/>
    </row>
    <row r="40" spans="2:28" x14ac:dyDescent="0.25">
      <c r="B40" s="63"/>
      <c r="C40" s="15" t="s">
        <v>90</v>
      </c>
      <c r="D40">
        <v>22.49</v>
      </c>
      <c r="E40">
        <v>12.32</v>
      </c>
      <c r="F40">
        <v>27.05</v>
      </c>
      <c r="G40" s="38" t="s">
        <v>91</v>
      </c>
      <c r="H40" s="11"/>
      <c r="I40" s="5" t="s">
        <v>20</v>
      </c>
      <c r="AA40" s="59"/>
    </row>
    <row r="41" spans="2:28" x14ac:dyDescent="0.25">
      <c r="B41" s="60" t="s">
        <v>92</v>
      </c>
      <c r="C41" s="15" t="s">
        <v>175</v>
      </c>
      <c r="D41">
        <v>11.5</v>
      </c>
      <c r="G41" s="38" t="s">
        <v>176</v>
      </c>
      <c r="H41" s="11"/>
      <c r="I41" s="5" t="s">
        <v>20</v>
      </c>
      <c r="K41" s="46" t="s">
        <v>87</v>
      </c>
      <c r="L41" s="94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</row>
    <row r="42" spans="2:28" x14ac:dyDescent="0.25">
      <c r="B42" s="8"/>
      <c r="C42" s="15" t="s">
        <v>177</v>
      </c>
      <c r="D42">
        <v>0.8</v>
      </c>
      <c r="E42">
        <f>D42-0.4</f>
        <v>0.4</v>
      </c>
      <c r="F42">
        <f>D42+0.4</f>
        <v>1.2000000000000002</v>
      </c>
      <c r="G42" s="38" t="s">
        <v>94</v>
      </c>
      <c r="H42" s="11"/>
      <c r="I42" s="5" t="s">
        <v>20</v>
      </c>
      <c r="L42" s="87" t="s">
        <v>89</v>
      </c>
      <c r="M42">
        <f>D57</f>
        <v>15968</v>
      </c>
      <c r="N42" s="54">
        <f>M42-R42</f>
        <v>14530.880000000001</v>
      </c>
      <c r="O42" s="53">
        <f>E59</f>
        <v>4535358.9450000003</v>
      </c>
      <c r="P42">
        <f>N42/O42</f>
        <v>3.2039095860360838E-3</v>
      </c>
      <c r="R42" s="54">
        <f>S42*E63</f>
        <v>1437.12</v>
      </c>
      <c r="S42" s="2">
        <f>E60</f>
        <v>221117.17499999999</v>
      </c>
      <c r="T42">
        <f>R42/S42</f>
        <v>6.4993594459589127E-3</v>
      </c>
      <c r="V42">
        <f>T42-P42</f>
        <v>3.2954498599228289E-3</v>
      </c>
      <c r="X42" s="54">
        <f>V42*S42</f>
        <v>728.68056338028157</v>
      </c>
      <c r="Z42" s="54">
        <v>12052.4</v>
      </c>
      <c r="AA42" s="22">
        <f>Z42*D64</f>
        <v>563690748</v>
      </c>
    </row>
    <row r="43" spans="2:28" x14ac:dyDescent="0.25">
      <c r="B43" s="61"/>
      <c r="C43" s="15" t="s">
        <v>178</v>
      </c>
      <c r="D43">
        <f>D42*52</f>
        <v>41.6</v>
      </c>
      <c r="E43">
        <f>E42*52</f>
        <v>20.8</v>
      </c>
      <c r="F43">
        <f>F42*52</f>
        <v>62.400000000000006</v>
      </c>
      <c r="H43" s="11"/>
      <c r="I43" s="5" t="s">
        <v>20</v>
      </c>
      <c r="S43" s="2"/>
      <c r="Z43" s="54"/>
      <c r="AA43" s="22"/>
    </row>
    <row r="44" spans="2:28" x14ac:dyDescent="0.25">
      <c r="B44" s="8"/>
      <c r="C44" s="15" t="s">
        <v>179</v>
      </c>
      <c r="D44">
        <f>D41*8</f>
        <v>92</v>
      </c>
      <c r="H44" s="11"/>
      <c r="I44" s="5" t="s">
        <v>20</v>
      </c>
      <c r="S44" s="2"/>
      <c r="Z44" s="54"/>
      <c r="AA44" s="22"/>
    </row>
    <row r="45" spans="2:28" x14ac:dyDescent="0.25">
      <c r="B45" s="8"/>
      <c r="C45" s="15"/>
      <c r="G45" s="38"/>
      <c r="H45" s="11"/>
      <c r="I45" s="5" t="s">
        <v>20</v>
      </c>
      <c r="S45" s="2"/>
      <c r="Z45" s="54"/>
      <c r="AA45" s="22"/>
    </row>
    <row r="46" spans="2:28" ht="15" customHeight="1" x14ac:dyDescent="0.25">
      <c r="B46" s="8"/>
      <c r="C46" s="15" t="s">
        <v>180</v>
      </c>
      <c r="D46" s="2">
        <f>AVERAGE(D43,D44)</f>
        <v>66.8</v>
      </c>
      <c r="E46" s="2">
        <f t="shared" ref="E46:F46" si="1">AVERAGE(E43,E44)</f>
        <v>20.8</v>
      </c>
      <c r="F46" s="2">
        <f t="shared" si="1"/>
        <v>62.400000000000006</v>
      </c>
      <c r="G46" s="38"/>
      <c r="H46" s="11"/>
      <c r="I46" s="5" t="s">
        <v>20</v>
      </c>
      <c r="L46" s="87" t="s">
        <v>95</v>
      </c>
      <c r="M46">
        <v>17552</v>
      </c>
      <c r="S46" s="2"/>
      <c r="Z46" s="54"/>
      <c r="AA46" s="22"/>
    </row>
    <row r="47" spans="2:28" x14ac:dyDescent="0.25">
      <c r="B47" s="8"/>
      <c r="C47" s="15"/>
      <c r="D47" s="2"/>
      <c r="G47" s="38"/>
      <c r="H47" s="11"/>
      <c r="I47" s="5" t="s">
        <v>20</v>
      </c>
      <c r="S47" s="2"/>
      <c r="X47">
        <v>17552</v>
      </c>
      <c r="Z47" s="54">
        <f>X47*E9</f>
        <v>7028.2372881355941</v>
      </c>
      <c r="AA47" s="22">
        <f>Z47*E64</f>
        <v>180063439.32203391</v>
      </c>
    </row>
    <row r="48" spans="2:28" x14ac:dyDescent="0.25">
      <c r="B48" s="8"/>
      <c r="C48" s="15"/>
      <c r="D48" s="2"/>
      <c r="G48" s="38"/>
      <c r="H48" s="11"/>
      <c r="I48" s="5" t="s">
        <v>20</v>
      </c>
      <c r="S48" s="2"/>
      <c r="Z48" s="13"/>
      <c r="AA48" s="22"/>
    </row>
    <row r="49" spans="2:28" x14ac:dyDescent="0.25">
      <c r="B49" s="60" t="s">
        <v>98</v>
      </c>
      <c r="C49" s="15" t="s">
        <v>181</v>
      </c>
      <c r="D49">
        <v>6.1</v>
      </c>
      <c r="E49">
        <f>D49-1.3</f>
        <v>4.8</v>
      </c>
      <c r="F49">
        <f>D49+1.3</f>
        <v>7.3999999999999995</v>
      </c>
      <c r="G49" s="38" t="s">
        <v>94</v>
      </c>
      <c r="H49" s="11"/>
      <c r="I49" s="5" t="s">
        <v>20</v>
      </c>
      <c r="S49" s="2"/>
      <c r="AA49" s="22"/>
    </row>
    <row r="50" spans="2:28" x14ac:dyDescent="0.25">
      <c r="B50" s="61"/>
      <c r="C50" s="15" t="s">
        <v>182</v>
      </c>
      <c r="D50" s="2">
        <f>D49*52</f>
        <v>317.2</v>
      </c>
      <c r="E50">
        <v>187.2</v>
      </c>
      <c r="F50">
        <v>452.4</v>
      </c>
      <c r="G50" s="38"/>
      <c r="H50" s="11"/>
      <c r="I50" s="5" t="s">
        <v>20</v>
      </c>
      <c r="S50" s="2"/>
      <c r="AA50" s="22"/>
    </row>
    <row r="51" spans="2:28" x14ac:dyDescent="0.25">
      <c r="B51" s="61"/>
      <c r="C51" s="15"/>
      <c r="D51" s="2"/>
      <c r="G51" s="38"/>
      <c r="H51" s="11"/>
      <c r="I51" s="5" t="s">
        <v>20</v>
      </c>
    </row>
    <row r="52" spans="2:28" x14ac:dyDescent="0.25">
      <c r="B52" s="61"/>
      <c r="C52" s="15"/>
      <c r="D52" s="2"/>
      <c r="G52" s="38"/>
      <c r="H52" s="11"/>
      <c r="I52" s="5" t="s">
        <v>20</v>
      </c>
      <c r="K52" s="47" t="s">
        <v>99</v>
      </c>
      <c r="L52" s="95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</row>
    <row r="53" spans="2:28" ht="28.5" customHeight="1" x14ac:dyDescent="0.25">
      <c r="B53" s="8"/>
      <c r="H53" s="11"/>
      <c r="I53" s="5" t="s">
        <v>20</v>
      </c>
      <c r="L53" s="87" t="s">
        <v>101</v>
      </c>
      <c r="X53">
        <f>D76</f>
        <v>46606</v>
      </c>
      <c r="Z53" s="53">
        <f>X53*E9</f>
        <v>18662.148305084749</v>
      </c>
      <c r="AA53" s="22">
        <f>Z53*E72*E75</f>
        <v>54996305.974779688</v>
      </c>
    </row>
    <row r="54" spans="2:28" x14ac:dyDescent="0.25">
      <c r="B54" s="51" t="s">
        <v>87</v>
      </c>
      <c r="C54" s="32"/>
      <c r="D54" s="32"/>
      <c r="E54" s="32"/>
      <c r="F54" s="32"/>
      <c r="G54" s="32"/>
      <c r="H54" s="41"/>
      <c r="I54" s="5" t="s">
        <v>20</v>
      </c>
      <c r="Z54" s="53"/>
    </row>
    <row r="55" spans="2:28" x14ac:dyDescent="0.25">
      <c r="B55" s="63"/>
      <c r="C55" s="152" t="s">
        <v>183</v>
      </c>
      <c r="D55">
        <v>992</v>
      </c>
      <c r="H55" s="11"/>
      <c r="I55" s="5" t="s">
        <v>20</v>
      </c>
      <c r="Z55" s="53"/>
    </row>
    <row r="56" spans="2:28" x14ac:dyDescent="0.25">
      <c r="B56" s="8"/>
      <c r="C56" s="15" t="s">
        <v>103</v>
      </c>
      <c r="D56">
        <v>17552</v>
      </c>
      <c r="E56">
        <v>11764</v>
      </c>
      <c r="F56">
        <v>32092</v>
      </c>
      <c r="G56" s="38" t="s">
        <v>104</v>
      </c>
      <c r="H56" s="11"/>
      <c r="I56" s="5" t="s">
        <v>20</v>
      </c>
      <c r="Z56" s="53"/>
    </row>
    <row r="57" spans="2:28" ht="45" x14ac:dyDescent="0.25">
      <c r="B57" s="8"/>
      <c r="C57" s="15" t="s">
        <v>184</v>
      </c>
      <c r="D57">
        <v>15968</v>
      </c>
      <c r="G57" s="38" t="s">
        <v>104</v>
      </c>
      <c r="H57" s="11"/>
      <c r="I57" s="5" t="s">
        <v>20</v>
      </c>
      <c r="L57" s="87" t="s">
        <v>105</v>
      </c>
      <c r="X57">
        <f>D76</f>
        <v>46606</v>
      </c>
      <c r="Z57" s="53">
        <f>X57*E9</f>
        <v>18662.148305084749</v>
      </c>
      <c r="AA57" s="59">
        <f>Z57*E78</f>
        <v>2664417.3080949155</v>
      </c>
    </row>
    <row r="58" spans="2:28" ht="24.75" x14ac:dyDescent="0.25">
      <c r="B58" s="8"/>
      <c r="C58" s="15" t="s">
        <v>106</v>
      </c>
      <c r="D58">
        <f>C5-115285</f>
        <v>4913715</v>
      </c>
      <c r="G58" s="38" t="s">
        <v>107</v>
      </c>
      <c r="H58" s="11"/>
      <c r="I58" s="5" t="s">
        <v>20</v>
      </c>
      <c r="Z58" s="53"/>
    </row>
    <row r="59" spans="2:28" x14ac:dyDescent="0.25">
      <c r="B59" s="8"/>
      <c r="C59" s="15" t="s">
        <v>185</v>
      </c>
      <c r="D59" s="53">
        <f>D58*D6/100</f>
        <v>4623805.8150000004</v>
      </c>
      <c r="E59" s="53">
        <f>D58*E6/100</f>
        <v>4535358.9450000003</v>
      </c>
      <c r="F59" s="53">
        <f>D58*F6/100</f>
        <v>4692597.8250000002</v>
      </c>
      <c r="G59" s="38"/>
      <c r="H59" s="11"/>
      <c r="I59" s="5" t="s">
        <v>20</v>
      </c>
      <c r="Z59" s="53"/>
    </row>
    <row r="60" spans="2:28" ht="15" customHeight="1" x14ac:dyDescent="0.25">
      <c r="B60" s="8"/>
      <c r="C60" s="15" t="s">
        <v>186</v>
      </c>
      <c r="D60" s="53">
        <f>D58*D7/100</f>
        <v>289909.185</v>
      </c>
      <c r="E60" s="53">
        <f>D58*E7/100</f>
        <v>221117.17499999999</v>
      </c>
      <c r="F60" s="53">
        <f>D58*F7/100</f>
        <v>378356.05499999999</v>
      </c>
      <c r="G60" s="38"/>
      <c r="H60" s="11"/>
      <c r="I60" s="5" t="s">
        <v>20</v>
      </c>
    </row>
    <row r="61" spans="2:28" ht="36.6" customHeight="1" x14ac:dyDescent="0.25">
      <c r="B61" s="62"/>
      <c r="C61" s="15" t="s">
        <v>187</v>
      </c>
      <c r="D61">
        <f>(2+3.5)/2</f>
        <v>2.75</v>
      </c>
      <c r="E61">
        <v>2</v>
      </c>
      <c r="F61">
        <v>3.5</v>
      </c>
      <c r="G61" s="38" t="s">
        <v>188</v>
      </c>
      <c r="H61" s="11"/>
      <c r="I61" s="11" t="s">
        <v>189</v>
      </c>
      <c r="J61" s="23" t="s">
        <v>111</v>
      </c>
      <c r="K61" s="28"/>
      <c r="L61" s="28"/>
      <c r="M61" s="28"/>
      <c r="N61" s="77"/>
      <c r="O61" s="28"/>
      <c r="P61" s="28"/>
      <c r="Q61" s="28"/>
      <c r="R61" s="77"/>
      <c r="S61" s="28"/>
      <c r="T61" s="28"/>
      <c r="U61" s="28"/>
      <c r="V61" s="28"/>
      <c r="W61" s="28"/>
      <c r="X61" s="65"/>
      <c r="Y61" s="28"/>
      <c r="Z61" s="65"/>
      <c r="AA61" s="69"/>
      <c r="AB61" s="69"/>
    </row>
    <row r="62" spans="2:28" ht="15.75" x14ac:dyDescent="0.25">
      <c r="B62" s="62"/>
      <c r="C62" s="15" t="s">
        <v>190</v>
      </c>
      <c r="D62" s="151">
        <f>M42/D58</f>
        <v>3.2496797229794564E-3</v>
      </c>
      <c r="G62" s="38" t="s">
        <v>113</v>
      </c>
      <c r="H62" s="11"/>
      <c r="I62" s="5" t="s">
        <v>20</v>
      </c>
      <c r="J62" s="109"/>
      <c r="K62" s="111" t="s">
        <v>114</v>
      </c>
      <c r="L62" s="112"/>
      <c r="M62" s="112"/>
      <c r="N62" s="113"/>
      <c r="O62" s="112"/>
      <c r="P62" s="112"/>
      <c r="Q62" s="112"/>
      <c r="R62" s="113"/>
      <c r="S62" s="112"/>
      <c r="T62" s="112"/>
      <c r="U62" s="112"/>
      <c r="V62" s="112"/>
      <c r="W62" s="112"/>
      <c r="X62" s="114"/>
      <c r="Y62" s="112"/>
      <c r="Z62" s="114"/>
      <c r="AA62" s="115"/>
      <c r="AB62" s="115"/>
    </row>
    <row r="63" spans="2:28" x14ac:dyDescent="0.25">
      <c r="B63" s="62"/>
      <c r="C63" s="15" t="s">
        <v>191</v>
      </c>
      <c r="D63" s="146">
        <f>D61*D62</f>
        <v>8.9366192381935047E-3</v>
      </c>
      <c r="E63" s="146">
        <f>E61*D62</f>
        <v>6.4993594459589127E-3</v>
      </c>
      <c r="F63" s="146">
        <f>F61*D62</f>
        <v>1.1373879030428097E-2</v>
      </c>
      <c r="G63" t="s">
        <v>116</v>
      </c>
      <c r="H63" s="11"/>
      <c r="I63" s="5" t="s">
        <v>20</v>
      </c>
      <c r="L63" s="87" t="s">
        <v>117</v>
      </c>
      <c r="X63">
        <f>E86*C7</f>
        <v>39960</v>
      </c>
      <c r="Z63" s="53">
        <f>X63*E9</f>
        <v>16000.932203389832</v>
      </c>
      <c r="AA63" s="22">
        <f>Z63*D85</f>
        <v>26348575.050000001</v>
      </c>
    </row>
    <row r="64" spans="2:28" x14ac:dyDescent="0.25">
      <c r="B64" s="62"/>
      <c r="C64" s="15" t="s">
        <v>78</v>
      </c>
      <c r="D64" s="40">
        <v>46770</v>
      </c>
      <c r="E64">
        <v>25620</v>
      </c>
      <c r="F64">
        <v>56250</v>
      </c>
      <c r="G64" s="38" t="s">
        <v>79</v>
      </c>
      <c r="H64" s="11"/>
      <c r="I64" s="5" t="s">
        <v>20</v>
      </c>
      <c r="Z64" s="53"/>
    </row>
    <row r="65" spans="2:27" ht="26.45" customHeight="1" x14ac:dyDescent="0.25">
      <c r="B65" s="62"/>
      <c r="C65" s="15" t="s">
        <v>192</v>
      </c>
      <c r="D65" s="104">
        <f>X42*D9</f>
        <v>382.86605872523262</v>
      </c>
      <c r="G65" s="38"/>
      <c r="H65" s="11"/>
      <c r="I65" s="5" t="s">
        <v>20</v>
      </c>
      <c r="Z65" s="53"/>
    </row>
    <row r="66" spans="2:27" ht="25.5" customHeight="1" x14ac:dyDescent="0.25">
      <c r="B66" s="62"/>
      <c r="C66" s="15" t="s">
        <v>193</v>
      </c>
      <c r="D66" s="104">
        <f>E9*X42</f>
        <v>291.78098830269755</v>
      </c>
      <c r="G66" s="38"/>
      <c r="H66" s="11"/>
      <c r="I66" s="5" t="s">
        <v>20</v>
      </c>
    </row>
    <row r="67" spans="2:27" ht="26.45" customHeight="1" x14ac:dyDescent="0.25">
      <c r="B67" s="62"/>
      <c r="C67" s="15" t="s">
        <v>194</v>
      </c>
      <c r="D67" s="104">
        <f>X42*F9</f>
        <v>494.51474165671993</v>
      </c>
      <c r="G67" s="38"/>
      <c r="H67" s="11"/>
      <c r="I67" s="5" t="s">
        <v>20</v>
      </c>
      <c r="L67" s="102" t="s">
        <v>121</v>
      </c>
      <c r="X67">
        <f>C7*E89</f>
        <v>113664</v>
      </c>
      <c r="Z67" s="53">
        <f>X67*E9</f>
        <v>45513.762711864409</v>
      </c>
      <c r="AA67" s="22">
        <f>Z67*E88</f>
        <v>82441763.712000012</v>
      </c>
    </row>
    <row r="68" spans="2:27" ht="36.75" x14ac:dyDescent="0.25">
      <c r="B68" s="8"/>
      <c r="C68" s="15" t="s">
        <v>195</v>
      </c>
      <c r="G68" t="s">
        <v>123</v>
      </c>
      <c r="H68" s="11"/>
      <c r="I68" s="5" t="s">
        <v>20</v>
      </c>
      <c r="Z68" s="53"/>
    </row>
    <row r="69" spans="2:27" x14ac:dyDescent="0.25">
      <c r="B69" s="8"/>
      <c r="C69" s="15"/>
      <c r="H69" s="11"/>
      <c r="I69" s="5" t="s">
        <v>20</v>
      </c>
      <c r="Z69" s="53"/>
    </row>
    <row r="70" spans="2:27" x14ac:dyDescent="0.25">
      <c r="B70" s="52" t="s">
        <v>99</v>
      </c>
      <c r="C70" s="34"/>
      <c r="D70" s="34"/>
      <c r="E70" s="34"/>
      <c r="F70" s="34"/>
      <c r="G70" s="34"/>
      <c r="H70" s="42"/>
      <c r="I70" s="5" t="s">
        <v>20</v>
      </c>
    </row>
    <row r="71" spans="2:27" ht="30.75" customHeight="1" x14ac:dyDescent="0.25">
      <c r="B71" s="60" t="s">
        <v>124</v>
      </c>
      <c r="C71" s="15" t="s">
        <v>131</v>
      </c>
      <c r="D71">
        <v>7.4</v>
      </c>
      <c r="E71">
        <f>29-24.4</f>
        <v>4.6000000000000014</v>
      </c>
      <c r="F71">
        <f>40-24.4</f>
        <v>15.600000000000001</v>
      </c>
      <c r="G71" s="38" t="s">
        <v>126</v>
      </c>
      <c r="H71" s="163"/>
      <c r="I71" s="97" t="s">
        <v>196</v>
      </c>
      <c r="Z71" s="110" t="s">
        <v>127</v>
      </c>
      <c r="AA71" s="22">
        <f>SUM(AA8:AA70)</f>
        <v>1071019047.760239</v>
      </c>
    </row>
    <row r="72" spans="2:27" x14ac:dyDescent="0.25">
      <c r="B72" s="8"/>
      <c r="C72" s="15" t="s">
        <v>132</v>
      </c>
      <c r="D72">
        <f>D71*52</f>
        <v>384.8</v>
      </c>
      <c r="E72">
        <f t="shared" ref="E72:F72" si="2">E71*52</f>
        <v>239.20000000000007</v>
      </c>
      <c r="F72">
        <f t="shared" si="2"/>
        <v>811.2</v>
      </c>
      <c r="G72" s="38"/>
      <c r="H72" s="163"/>
      <c r="I72" s="97" t="s">
        <v>20</v>
      </c>
    </row>
    <row r="73" spans="2:27" x14ac:dyDescent="0.25">
      <c r="B73" s="8"/>
      <c r="C73" s="15" t="s">
        <v>197</v>
      </c>
      <c r="D73">
        <v>0.75</v>
      </c>
      <c r="G73" s="38" t="s">
        <v>198</v>
      </c>
      <c r="H73" s="11"/>
      <c r="I73" s="97" t="s">
        <v>199</v>
      </c>
    </row>
    <row r="74" spans="2:27" x14ac:dyDescent="0.25">
      <c r="B74" s="8"/>
      <c r="C74" s="15" t="s">
        <v>134</v>
      </c>
      <c r="D74">
        <v>850000</v>
      </c>
      <c r="G74" s="38" t="s">
        <v>135</v>
      </c>
      <c r="H74" s="11"/>
      <c r="I74" s="97"/>
    </row>
    <row r="75" spans="2:27" x14ac:dyDescent="0.25">
      <c r="B75" s="8"/>
      <c r="C75" s="15" t="s">
        <v>90</v>
      </c>
      <c r="D75">
        <v>22.49</v>
      </c>
      <c r="E75">
        <v>12.32</v>
      </c>
      <c r="F75">
        <v>27.05</v>
      </c>
      <c r="G75" s="38" t="s">
        <v>91</v>
      </c>
      <c r="H75" s="11"/>
      <c r="I75" s="97" t="s">
        <v>166</v>
      </c>
    </row>
    <row r="76" spans="2:27" x14ac:dyDescent="0.25">
      <c r="B76" s="8"/>
      <c r="C76" s="15" t="s">
        <v>200</v>
      </c>
      <c r="D76">
        <v>46606</v>
      </c>
      <c r="H76" s="11"/>
      <c r="I76" s="97"/>
    </row>
    <row r="77" spans="2:27" ht="27.95" customHeight="1" x14ac:dyDescent="0.25">
      <c r="B77" s="8"/>
      <c r="H77" s="163"/>
      <c r="I77" s="97"/>
    </row>
    <row r="78" spans="2:27" ht="30" x14ac:dyDescent="0.25">
      <c r="B78" s="106" t="s">
        <v>137</v>
      </c>
      <c r="C78" s="150" t="s">
        <v>138</v>
      </c>
      <c r="D78" s="40">
        <f>AVERAGE(D79, D81, D80)*1.69*12</f>
        <v>319.00440000000003</v>
      </c>
      <c r="E78" s="40">
        <f t="shared" ref="E78:F78" si="3">AVERAGE(E79, E81, E80)*1.69*12</f>
        <v>142.77119999999999</v>
      </c>
      <c r="F78" s="40">
        <f t="shared" si="3"/>
        <v>176.23319999999998</v>
      </c>
      <c r="H78" s="163"/>
      <c r="I78" s="97"/>
    </row>
    <row r="79" spans="2:27" x14ac:dyDescent="0.25">
      <c r="B79" s="8"/>
      <c r="C79" s="15" t="s">
        <v>201</v>
      </c>
      <c r="D79">
        <f>SUM(E79+F79)</f>
        <v>19.5</v>
      </c>
      <c r="E79">
        <v>8.85</v>
      </c>
      <c r="F79">
        <v>10.65</v>
      </c>
      <c r="G79" s="38" t="s">
        <v>140</v>
      </c>
      <c r="H79" s="163"/>
      <c r="I79" s="97"/>
    </row>
    <row r="80" spans="2:27" x14ac:dyDescent="0.25">
      <c r="B80" s="8"/>
      <c r="C80" s="15" t="s">
        <v>202</v>
      </c>
      <c r="D80" s="13">
        <f>SUM(E80+F80)</f>
        <v>9.99</v>
      </c>
      <c r="E80">
        <v>4.03</v>
      </c>
      <c r="F80">
        <v>5.96</v>
      </c>
      <c r="G80" s="38" t="s">
        <v>140</v>
      </c>
      <c r="H80" s="163"/>
      <c r="I80" s="97"/>
    </row>
    <row r="81" spans="2:9" x14ac:dyDescent="0.25">
      <c r="B81" s="8"/>
      <c r="C81" s="152" t="s">
        <v>203</v>
      </c>
      <c r="D81">
        <f>SUM(E81+F81)</f>
        <v>17.700000000000003</v>
      </c>
      <c r="E81">
        <v>8.24</v>
      </c>
      <c r="F81">
        <v>9.4600000000000009</v>
      </c>
      <c r="G81" s="38" t="s">
        <v>140</v>
      </c>
      <c r="H81" s="163"/>
      <c r="I81" s="97"/>
    </row>
    <row r="82" spans="2:9" x14ac:dyDescent="0.25">
      <c r="B82" s="8"/>
      <c r="C82" s="152"/>
      <c r="G82" s="38"/>
      <c r="H82" s="163"/>
      <c r="I82" s="97"/>
    </row>
    <row r="83" spans="2:9" x14ac:dyDescent="0.25">
      <c r="B83" s="108" t="s">
        <v>141</v>
      </c>
      <c r="C83" s="153"/>
      <c r="D83" s="154"/>
      <c r="E83" s="154"/>
      <c r="F83" s="154"/>
      <c r="G83" s="139"/>
      <c r="H83" s="107"/>
      <c r="I83" s="5" t="s">
        <v>20</v>
      </c>
    </row>
    <row r="84" spans="2:9" x14ac:dyDescent="0.25">
      <c r="B84" s="116" t="s">
        <v>142</v>
      </c>
      <c r="C84" s="117"/>
      <c r="D84" s="117"/>
      <c r="E84" s="117"/>
      <c r="F84" s="117"/>
      <c r="G84" s="117"/>
      <c r="H84" s="118"/>
      <c r="I84" s="5" t="s">
        <v>20</v>
      </c>
    </row>
    <row r="85" spans="2:9" ht="30" x14ac:dyDescent="0.25">
      <c r="B85" s="60" t="s">
        <v>204</v>
      </c>
      <c r="C85" s="6" t="s">
        <v>205</v>
      </c>
      <c r="D85" s="40">
        <v>1646.69</v>
      </c>
      <c r="H85" s="11"/>
      <c r="I85" s="5" t="s">
        <v>20</v>
      </c>
    </row>
    <row r="86" spans="2:9" x14ac:dyDescent="0.25">
      <c r="B86" s="60"/>
      <c r="C86" t="s">
        <v>206</v>
      </c>
      <c r="D86">
        <v>0.219</v>
      </c>
      <c r="E86">
        <v>0.13500000000000001</v>
      </c>
      <c r="F86">
        <v>0.33600000000000002</v>
      </c>
      <c r="G86" s="38" t="s">
        <v>207</v>
      </c>
      <c r="H86" s="11"/>
      <c r="I86" s="5" t="s">
        <v>20</v>
      </c>
    </row>
    <row r="87" spans="2:9" x14ac:dyDescent="0.25">
      <c r="B87" s="60"/>
      <c r="G87" s="38"/>
      <c r="H87" s="11"/>
      <c r="I87" s="5" t="s">
        <v>20</v>
      </c>
    </row>
    <row r="88" spans="2:9" ht="30" x14ac:dyDescent="0.25">
      <c r="B88" s="60" t="s">
        <v>208</v>
      </c>
      <c r="C88" s="6" t="s">
        <v>209</v>
      </c>
      <c r="D88" s="40">
        <f>D85*1.7</f>
        <v>2799.373</v>
      </c>
      <c r="E88" s="22">
        <f>D85*1.1</f>
        <v>1811.3590000000002</v>
      </c>
      <c r="F88" s="22">
        <f>D85*2.1</f>
        <v>3458.0490000000004</v>
      </c>
      <c r="G88" s="38" t="s">
        <v>147</v>
      </c>
      <c r="H88" s="163"/>
      <c r="I88" s="5" t="s">
        <v>20</v>
      </c>
    </row>
    <row r="89" spans="2:9" ht="15.75" thickBot="1" x14ac:dyDescent="0.3">
      <c r="B89" s="20"/>
      <c r="C89" s="21" t="s">
        <v>210</v>
      </c>
      <c r="D89" s="21">
        <v>0.51700000000000002</v>
      </c>
      <c r="E89" s="21">
        <v>0.38400000000000001</v>
      </c>
      <c r="F89" s="21">
        <v>0.64700000000000002</v>
      </c>
      <c r="G89" s="140" t="s">
        <v>211</v>
      </c>
      <c r="H89" s="165"/>
      <c r="I89" s="5" t="s">
        <v>20</v>
      </c>
    </row>
    <row r="90" spans="2:9" x14ac:dyDescent="0.25">
      <c r="I90" s="5" t="s">
        <v>20</v>
      </c>
    </row>
    <row r="93" spans="2:9" x14ac:dyDescent="0.25">
      <c r="C93" t="s">
        <v>151</v>
      </c>
    </row>
    <row r="97" spans="10:10" x14ac:dyDescent="0.25">
      <c r="J97" s="27"/>
    </row>
  </sheetData>
  <mergeCells count="3">
    <mergeCell ref="B2:G3"/>
    <mergeCell ref="F12:G12"/>
    <mergeCell ref="J2:AB3"/>
  </mergeCells>
  <hyperlinks>
    <hyperlink ref="G22" r:id="rId1" display="https://www.nationalhomeless.org/factsheets/Mental_Illness.pdf;  " xr:uid="{6557D506-BF33-4A4D-87DB-94E4318B70D7}"/>
    <hyperlink ref="G24" r:id="rId2" xr:uid="{4746C875-050B-492D-A743-F40EE9599620}"/>
    <hyperlink ref="G13" r:id="rId3" xr:uid="{B8EFC73F-0564-4357-BE21-C257F961C021}"/>
    <hyperlink ref="G17" r:id="rId4" xr:uid="{BC4CBD50-EC40-441B-A65E-DE1D3CFAB3DD}"/>
    <hyperlink ref="G15" r:id="rId5" xr:uid="{4328FE6A-9DEE-4C1F-B418-18AA65D28DC0}"/>
    <hyperlink ref="G18" r:id="rId6" xr:uid="{39DDEF84-EA58-4A76-9C89-2A32FA467195}"/>
    <hyperlink ref="G14" r:id="rId7" xr:uid="{2DE92ED7-D7A2-4CB9-AFA8-6C8C19D41F4A}"/>
    <hyperlink ref="G19" r:id="rId8" display="https://bjs.ojp.gov/content/pub/pdf/tssp18.pdf" xr:uid="{180D9CF0-EEA0-4BD6-9490-27196EF276D8}"/>
    <hyperlink ref="AB8" r:id="rId9" xr:uid="{A26125BF-49B2-40D2-8F3B-32C76689228C}"/>
    <hyperlink ref="AB12" r:id="rId10" display="https://nicic.gov/state-statistics/2019/indiana-2019" xr:uid="{C2E7CE1D-03B3-4C93-988E-38A595597DFE}"/>
    <hyperlink ref="AB17" r:id="rId11" xr:uid="{389C6138-5E60-42BD-A7F7-CFEF8F76A02E}"/>
    <hyperlink ref="G56" r:id="rId12" xr:uid="{4CC7EB26-ED6F-4A6D-808F-0D74EF6350A7}"/>
    <hyperlink ref="G57" r:id="rId13" xr:uid="{1E9E325A-C892-459A-BFD4-BFF0B5B060A3}"/>
    <hyperlink ref="G75" r:id="rId14" display="https://www.bls.gov/oes/2019/may/oes_in.htm" xr:uid="{13D67DE8-65BD-496C-87D4-4B2231C8DA78}"/>
    <hyperlink ref="G73" r:id="rId15" xr:uid="{E9974382-9C35-4827-8220-8F7A365C1746}"/>
    <hyperlink ref="G71" r:id="rId16" xr:uid="{C28E02D5-F607-4C5B-AC4D-E1538556DA08}"/>
    <hyperlink ref="G74" r:id="rId17" xr:uid="{7D7752A6-8AD1-4808-BFDB-D923BFB113DF}"/>
    <hyperlink ref="G79" r:id="rId18" xr:uid="{F080CC86-A3F4-40F3-9A51-4908D118E17B}"/>
    <hyperlink ref="G80" r:id="rId19" xr:uid="{DDB797C5-563E-4A9A-81CB-F192B3DC4D03}"/>
    <hyperlink ref="G81" r:id="rId20" xr:uid="{FDA468C6-4D82-49E1-A03C-DDCE71CAB87E}"/>
    <hyperlink ref="G41" r:id="rId21" xr:uid="{CBBE2FE8-386C-4954-B4B3-0053731CDB7A}"/>
    <hyperlink ref="G42" r:id="rId22" display="https://pubmed.ncbi.nlm.nih.gov/12813119/" xr:uid="{EA482EC5-4847-44D8-9474-E071009B1631}"/>
    <hyperlink ref="G49" r:id="rId23" display="https://pubmed.ncbi.nlm.nih.gov/12813119/" xr:uid="{DE448FCE-2D2E-4650-8C8E-030CE71CC687}"/>
    <hyperlink ref="G40" r:id="rId24" display="https://www.bls.gov/oes/2019/may/oes_in.htm" xr:uid="{AB321D79-E56B-40B7-9382-F6B7AEA25914}"/>
    <hyperlink ref="G39" r:id="rId25" xr:uid="{63784594-A1B6-4811-B0A8-613D9B67F1C7}"/>
    <hyperlink ref="AB27" r:id="rId26" xr:uid="{AA067DBD-D0DA-4AB5-8D66-E7B5188247EE}"/>
    <hyperlink ref="G32" r:id="rId27" xr:uid="{8D1E6F6E-40A7-4883-B639-77010BD773EB}"/>
    <hyperlink ref="G64" r:id="rId28" xr:uid="{FA17722E-700E-4FDF-9CF3-B9E0561D9300}"/>
    <hyperlink ref="G31" r:id="rId29" xr:uid="{A055680D-3D86-4D98-A77C-D3884ED875EB}"/>
    <hyperlink ref="G30" r:id="rId30" location="/ " xr:uid="{70E59E43-20E2-4FFB-A992-3F79953D534D}"/>
    <hyperlink ref="G61" r:id="rId31" location=":~:text=Results%3A%20Almost%2011%25%20of%20the,and%20unnatural%20causes%20for%2014%25" xr:uid="{1569344C-2813-4BD6-A58A-A972C2021A18}"/>
    <hyperlink ref="G86" r:id="rId32" location="/survey/NSDUH-2018-2019-RD02YR?column=SMIYR_U&amp;control=STATE&amp;filter=STATE%3D18&amp;results_received=true&amp;row=CAIDCHIP&amp;run_chisq=false&amp;weight=DASWT_1 " xr:uid="{AC669BE5-57C6-4FE2-9381-C641F4DA7E00}"/>
    <hyperlink ref="G89" r:id="rId33" location="/survey/NSDUH-2018-2019-RD02YR?column=SMIYR_U&amp;control=STATE&amp;filter=STATE%3D18&amp;results_received=true&amp;row=PRVHLTIN&amp;run_chisq=false&amp;weight=DASWT_1 " xr:uid="{B62A2F2A-B6B3-471F-946F-D411A18884EB}"/>
    <hyperlink ref="G7" r:id="rId34" location="/ " xr:uid="{CFFF558C-A064-4C04-B26F-D9EA42FCFEF8}"/>
    <hyperlink ref="G6" r:id="rId35" location="/ " xr:uid="{FBC84722-8067-4795-A9CB-1C95CBD770C6}"/>
    <hyperlink ref="G58" r:id="rId36" xr:uid="{E3A064CC-D223-4552-9ECC-EE67D97B3064}"/>
    <hyperlink ref="G62" r:id="rId37" xr:uid="{5ED1834A-D4EF-496C-82EC-DD470520BC9C}"/>
    <hyperlink ref="G26" r:id="rId38" location=":~:text=Chronic%20homelessness%20is%20used%20to,use%20disorder%2C%20or%20physical%20disability. " xr:uid="{7CFDC867-C57B-49D1-9CE0-91C8994AAE6C}"/>
    <hyperlink ref="G23" r:id="rId39" xr:uid="{94D1DCDA-EF59-47E3-895A-73AA77331D7F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83D6F-F548-4A89-9A5E-662AC21F130E}">
  <dimension ref="B1:AB87"/>
  <sheetViews>
    <sheetView zoomScale="60" zoomScaleNormal="60" workbookViewId="0">
      <selection activeCell="H1" sqref="H1:H1048576"/>
    </sheetView>
  </sheetViews>
  <sheetFormatPr defaultRowHeight="15" x14ac:dyDescent="0.25"/>
  <cols>
    <col min="2" max="2" width="28.85546875" customWidth="1"/>
    <col min="3" max="3" width="36.28515625" customWidth="1"/>
    <col min="4" max="4" width="15.85546875" customWidth="1"/>
    <col min="7" max="8" width="25.140625" customWidth="1"/>
    <col min="10" max="10" width="19" customWidth="1"/>
    <col min="11" max="11" width="32.7109375" bestFit="1" customWidth="1"/>
    <col min="12" max="12" width="21.85546875" bestFit="1" customWidth="1"/>
    <col min="13" max="13" width="16.42578125" customWidth="1"/>
    <col min="14" max="14" width="13" customWidth="1"/>
    <col min="15" max="15" width="11.85546875" customWidth="1"/>
    <col min="16" max="16" width="12.5703125" customWidth="1"/>
    <col min="18" max="18" width="12.7109375" customWidth="1"/>
    <col min="19" max="20" width="10.85546875" customWidth="1"/>
    <col min="24" max="24" width="13.85546875" customWidth="1"/>
    <col min="26" max="26" width="26.140625" customWidth="1"/>
    <col min="27" max="27" width="24.140625" customWidth="1"/>
    <col min="28" max="28" width="16.85546875" customWidth="1"/>
  </cols>
  <sheetData>
    <row r="1" spans="2:28" ht="15.75" thickBot="1" x14ac:dyDescent="0.3"/>
    <row r="2" spans="2:28" ht="15" customHeight="1" x14ac:dyDescent="0.25">
      <c r="B2" s="188" t="s">
        <v>0</v>
      </c>
      <c r="C2" s="189"/>
      <c r="D2" s="189"/>
      <c r="E2" s="189"/>
      <c r="F2" s="189"/>
      <c r="G2" s="189"/>
      <c r="H2" s="141"/>
      <c r="J2" s="191" t="s">
        <v>1</v>
      </c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</row>
    <row r="3" spans="2:28" ht="14.45" customHeight="1" x14ac:dyDescent="0.25">
      <c r="B3" s="190"/>
      <c r="C3" s="191"/>
      <c r="D3" s="191"/>
      <c r="E3" s="191"/>
      <c r="F3" s="191"/>
      <c r="G3" s="191"/>
      <c r="H3" s="142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</row>
    <row r="4" spans="2:28" x14ac:dyDescent="0.25">
      <c r="B4" s="8"/>
      <c r="C4" s="145" t="s">
        <v>2</v>
      </c>
      <c r="D4" s="145" t="s">
        <v>3</v>
      </c>
      <c r="E4" s="145" t="s">
        <v>4</v>
      </c>
      <c r="F4" s="145" t="s">
        <v>5</v>
      </c>
      <c r="G4" s="145" t="s">
        <v>212</v>
      </c>
      <c r="H4" s="9"/>
    </row>
    <row r="5" spans="2:28" ht="42" customHeight="1" x14ac:dyDescent="0.25">
      <c r="B5" s="10" t="s">
        <v>213</v>
      </c>
      <c r="C5">
        <v>1150105</v>
      </c>
      <c r="G5" s="38" t="s">
        <v>214</v>
      </c>
      <c r="H5" s="39"/>
      <c r="I5" s="5" t="s">
        <v>20</v>
      </c>
      <c r="J5" s="23" t="s">
        <v>29</v>
      </c>
      <c r="K5" s="23"/>
      <c r="L5" s="23"/>
      <c r="M5" s="23"/>
      <c r="N5" s="23" t="s">
        <v>8</v>
      </c>
      <c r="O5" s="23" t="s">
        <v>8</v>
      </c>
      <c r="P5" s="23" t="s">
        <v>9</v>
      </c>
      <c r="Q5" s="23"/>
      <c r="R5" s="23" t="s">
        <v>10</v>
      </c>
      <c r="S5" s="23" t="s">
        <v>10</v>
      </c>
      <c r="T5" s="23" t="s">
        <v>11</v>
      </c>
      <c r="U5" s="23"/>
      <c r="V5" s="23" t="s">
        <v>12</v>
      </c>
      <c r="W5" s="23"/>
      <c r="X5" s="23" t="s">
        <v>13</v>
      </c>
      <c r="Y5" s="23"/>
      <c r="Z5" s="23" t="s">
        <v>14</v>
      </c>
      <c r="AA5" s="23" t="s">
        <v>15</v>
      </c>
      <c r="AB5" s="23" t="s">
        <v>6</v>
      </c>
    </row>
    <row r="6" spans="2:28" ht="36" customHeight="1" x14ac:dyDescent="0.25">
      <c r="B6" s="10" t="s">
        <v>215</v>
      </c>
      <c r="C6" s="53">
        <f>C5*D6</f>
        <v>852227.80499999993</v>
      </c>
      <c r="D6">
        <v>0.74099999999999999</v>
      </c>
      <c r="E6">
        <v>0.70499999999999996</v>
      </c>
      <c r="F6">
        <v>0.77400000000000002</v>
      </c>
      <c r="G6" s="138" t="s">
        <v>216</v>
      </c>
      <c r="H6" s="12"/>
      <c r="I6" s="5" t="s">
        <v>20</v>
      </c>
      <c r="J6" s="6"/>
      <c r="K6" s="6"/>
      <c r="L6" s="6"/>
      <c r="M6" s="6" t="s">
        <v>21</v>
      </c>
      <c r="N6" s="7" t="s">
        <v>22</v>
      </c>
      <c r="O6" s="7" t="s">
        <v>23</v>
      </c>
      <c r="P6" s="7" t="s">
        <v>24</v>
      </c>
      <c r="Q6" s="7"/>
      <c r="R6" s="7" t="s">
        <v>25</v>
      </c>
      <c r="S6" s="7" t="s">
        <v>26</v>
      </c>
      <c r="T6" s="7" t="s">
        <v>27</v>
      </c>
      <c r="U6" s="6"/>
      <c r="V6" s="6"/>
      <c r="W6" s="6"/>
      <c r="X6" s="6"/>
      <c r="Y6" s="6"/>
      <c r="Z6" s="6"/>
      <c r="AA6" s="6"/>
    </row>
    <row r="7" spans="2:28" ht="15" customHeight="1" x14ac:dyDescent="0.25">
      <c r="B7" s="10" t="s">
        <v>217</v>
      </c>
      <c r="C7" s="2">
        <f>C5*D7</f>
        <v>297877.19500000001</v>
      </c>
      <c r="D7">
        <v>0.25900000000000001</v>
      </c>
      <c r="E7">
        <v>0.22600000000000001</v>
      </c>
      <c r="F7">
        <v>0.29499999999999998</v>
      </c>
      <c r="G7" s="138" t="s">
        <v>216</v>
      </c>
      <c r="H7" s="12"/>
      <c r="I7" s="5" t="s">
        <v>20</v>
      </c>
      <c r="K7" s="43" t="s">
        <v>30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2:28" x14ac:dyDescent="0.25">
      <c r="B8" s="10" t="s">
        <v>39</v>
      </c>
      <c r="D8" s="146">
        <v>4.1000000000000002E-2</v>
      </c>
      <c r="E8" s="146">
        <v>2.3E-2</v>
      </c>
      <c r="F8" s="146">
        <v>7.0999999999999994E-2</v>
      </c>
      <c r="G8" s="38" t="s">
        <v>218</v>
      </c>
      <c r="H8" s="39"/>
      <c r="I8" s="5" t="s">
        <v>219</v>
      </c>
      <c r="L8" t="s">
        <v>220</v>
      </c>
      <c r="M8">
        <v>388</v>
      </c>
      <c r="N8" s="53">
        <f>((1-E12)*M8)</f>
        <v>143.56</v>
      </c>
      <c r="O8" s="53">
        <f>C6</f>
        <v>852227.80499999993</v>
      </c>
      <c r="P8">
        <f>N8/O8</f>
        <v>1.6845261226838289E-4</v>
      </c>
      <c r="R8" s="53">
        <f>E12*M8</f>
        <v>244.44</v>
      </c>
      <c r="S8" s="2">
        <f>C7</f>
        <v>297877.19500000001</v>
      </c>
      <c r="T8">
        <f>R8/S8</f>
        <v>8.2060662616351002E-4</v>
      </c>
      <c r="V8">
        <f>T8-P8</f>
        <v>6.5215401389512708E-4</v>
      </c>
      <c r="X8" s="54">
        <f>V8*S8</f>
        <v>194.2618083670715</v>
      </c>
      <c r="Z8" s="54">
        <f>X8*E9</f>
        <v>19.770007046206388</v>
      </c>
      <c r="AA8" s="59">
        <f>Z8*D13*E14</f>
        <v>826058.11241445993</v>
      </c>
      <c r="AB8" s="27" t="s">
        <v>221</v>
      </c>
    </row>
    <row r="9" spans="2:28" x14ac:dyDescent="0.25">
      <c r="B9" s="10"/>
      <c r="D9" s="56">
        <f>D8/D7</f>
        <v>0.15830115830115829</v>
      </c>
      <c r="E9" s="13">
        <f>E8/E7</f>
        <v>0.10176991150442477</v>
      </c>
      <c r="F9" s="13">
        <f>F8/F7</f>
        <v>0.2406779661016949</v>
      </c>
      <c r="G9" s="38"/>
      <c r="H9" s="39"/>
      <c r="I9" s="97"/>
      <c r="N9" s="53"/>
      <c r="R9" s="53"/>
      <c r="X9" s="54"/>
      <c r="Z9" s="54"/>
      <c r="AA9" s="59"/>
      <c r="AB9" s="27"/>
    </row>
    <row r="10" spans="2:28" x14ac:dyDescent="0.25">
      <c r="B10" s="26" t="s">
        <v>29</v>
      </c>
      <c r="C10" s="24"/>
      <c r="D10" s="24"/>
      <c r="E10" s="24"/>
      <c r="F10" s="24"/>
      <c r="G10" s="24"/>
      <c r="H10" s="25"/>
      <c r="I10" s="5" t="s">
        <v>20</v>
      </c>
      <c r="N10" s="53"/>
      <c r="R10" s="53"/>
      <c r="X10" s="54"/>
      <c r="Z10" s="54"/>
      <c r="AA10" s="59"/>
      <c r="AB10" s="27"/>
    </row>
    <row r="11" spans="2:28" x14ac:dyDescent="0.25">
      <c r="B11" s="48" t="s">
        <v>43</v>
      </c>
      <c r="C11" s="3"/>
      <c r="D11" s="3"/>
      <c r="E11" s="3"/>
      <c r="F11" s="192"/>
      <c r="G11" s="192"/>
      <c r="H11" s="143"/>
      <c r="I11" s="5" t="s">
        <v>20</v>
      </c>
      <c r="N11" s="53"/>
      <c r="R11" s="53"/>
      <c r="X11" s="54"/>
      <c r="Z11" s="54"/>
      <c r="AA11" s="59"/>
      <c r="AB11" s="27"/>
    </row>
    <row r="12" spans="2:28" x14ac:dyDescent="0.25">
      <c r="B12" s="14" t="s">
        <v>223</v>
      </c>
      <c r="C12" s="15" t="s">
        <v>46</v>
      </c>
      <c r="D12" s="13">
        <v>0.7</v>
      </c>
      <c r="E12">
        <v>0.63</v>
      </c>
      <c r="F12">
        <v>0.72</v>
      </c>
      <c r="G12" s="138" t="s">
        <v>224</v>
      </c>
      <c r="H12" s="11"/>
      <c r="I12" s="5" t="s">
        <v>20</v>
      </c>
      <c r="J12" s="198" t="s">
        <v>65</v>
      </c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8"/>
      <c r="X12" s="198"/>
      <c r="Y12" s="198"/>
      <c r="Z12" s="198"/>
      <c r="AA12" s="198"/>
      <c r="AB12" s="27"/>
    </row>
    <row r="13" spans="2:28" x14ac:dyDescent="0.25">
      <c r="B13" s="8"/>
      <c r="C13" s="147" t="s">
        <v>225</v>
      </c>
      <c r="D13" s="16">
        <v>232.13</v>
      </c>
      <c r="G13" s="138" t="s">
        <v>226</v>
      </c>
      <c r="H13" s="11"/>
      <c r="I13" s="5" t="s">
        <v>20</v>
      </c>
      <c r="K13" s="195" t="s">
        <v>227</v>
      </c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27"/>
    </row>
    <row r="14" spans="2:28" ht="24.75" x14ac:dyDescent="0.25">
      <c r="B14" s="8"/>
      <c r="C14" s="15" t="s">
        <v>228</v>
      </c>
      <c r="D14">
        <f>8*30</f>
        <v>240</v>
      </c>
      <c r="E14">
        <f>6*30</f>
        <v>180</v>
      </c>
      <c r="F14">
        <f>10*30</f>
        <v>300</v>
      </c>
      <c r="G14" s="38" t="s">
        <v>229</v>
      </c>
      <c r="H14" s="11"/>
      <c r="I14" s="5" t="s">
        <v>20</v>
      </c>
      <c r="L14" t="s">
        <v>230</v>
      </c>
      <c r="N14" s="53"/>
      <c r="R14" s="53"/>
      <c r="S14" s="2"/>
      <c r="X14" s="54">
        <f>C7*E8</f>
        <v>6851.1754849999998</v>
      </c>
      <c r="Z14" s="54">
        <f>X14*E9</f>
        <v>697.24352280973449</v>
      </c>
      <c r="AA14" s="72">
        <f>Z14*D19*E20</f>
        <v>224358.18407748904</v>
      </c>
    </row>
    <row r="15" spans="2:28" x14ac:dyDescent="0.25">
      <c r="B15" s="8"/>
      <c r="C15" s="15"/>
      <c r="H15" s="11"/>
      <c r="I15" s="5" t="s">
        <v>20</v>
      </c>
      <c r="N15" s="53"/>
      <c r="R15" s="53"/>
      <c r="X15" s="54"/>
      <c r="Z15" s="54"/>
      <c r="AA15" s="72"/>
    </row>
    <row r="16" spans="2:28" x14ac:dyDescent="0.25">
      <c r="B16" s="98" t="s">
        <v>227</v>
      </c>
      <c r="C16" s="159"/>
      <c r="D16" s="155"/>
      <c r="E16" s="155"/>
      <c r="F16" s="155"/>
      <c r="G16" s="155"/>
      <c r="H16" s="167"/>
      <c r="I16" s="5" t="s">
        <v>20</v>
      </c>
      <c r="N16" s="53"/>
      <c r="R16" s="53"/>
      <c r="X16" s="54"/>
      <c r="Z16" s="54"/>
      <c r="AA16" s="72"/>
    </row>
    <row r="17" spans="2:28" ht="24.75" x14ac:dyDescent="0.25">
      <c r="B17" s="8"/>
      <c r="C17" s="15" t="s">
        <v>231</v>
      </c>
      <c r="D17">
        <v>180</v>
      </c>
      <c r="G17" s="38" t="s">
        <v>232</v>
      </c>
      <c r="H17" s="11"/>
      <c r="I17" s="5" t="s">
        <v>20</v>
      </c>
      <c r="N17" s="53"/>
      <c r="R17" s="53"/>
      <c r="X17" s="54"/>
      <c r="Z17" s="54"/>
      <c r="AA17" s="72"/>
      <c r="AB17" s="27"/>
    </row>
    <row r="18" spans="2:28" x14ac:dyDescent="0.25">
      <c r="B18" s="8"/>
      <c r="C18" s="15" t="s">
        <v>233</v>
      </c>
      <c r="D18">
        <v>9193.68</v>
      </c>
      <c r="G18" s="38" t="s">
        <v>234</v>
      </c>
      <c r="H18" s="11"/>
      <c r="I18" s="5" t="s">
        <v>20</v>
      </c>
      <c r="K18" s="197" t="s">
        <v>87</v>
      </c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</row>
    <row r="19" spans="2:28" x14ac:dyDescent="0.25">
      <c r="B19" s="8"/>
      <c r="C19" s="15" t="s">
        <v>235</v>
      </c>
      <c r="D19" s="40">
        <f>D18/D17</f>
        <v>51.076000000000001</v>
      </c>
      <c r="G19" s="38" t="s">
        <v>236</v>
      </c>
      <c r="H19" s="11"/>
      <c r="I19" s="5" t="s">
        <v>20</v>
      </c>
      <c r="K19" s="100"/>
      <c r="L19" s="87" t="s">
        <v>89</v>
      </c>
      <c r="M19">
        <v>186</v>
      </c>
      <c r="N19" s="54">
        <f>M19-R19</f>
        <v>79.053719999999984</v>
      </c>
      <c r="O19" s="53">
        <f>C6</f>
        <v>852227.80499999993</v>
      </c>
      <c r="P19">
        <f>N19/O19</f>
        <v>9.2761254134391904E-5</v>
      </c>
      <c r="Q19" s="100"/>
      <c r="R19" s="54">
        <f>S19*D27</f>
        <v>106.94628000000002</v>
      </c>
      <c r="S19" s="2">
        <f>C7</f>
        <v>297877.19500000001</v>
      </c>
      <c r="T19" s="102">
        <f>R19/S19</f>
        <v>3.590280887397238E-4</v>
      </c>
      <c r="U19" s="100"/>
      <c r="V19">
        <f>T19-P19</f>
        <v>2.6626683460533192E-4</v>
      </c>
      <c r="W19" s="102"/>
      <c r="X19" s="54">
        <f>S19*V19</f>
        <v>79.314817813765202</v>
      </c>
      <c r="Y19" s="100"/>
      <c r="Z19" s="13">
        <f>X19*E9*D28</f>
        <v>379.37751352513357</v>
      </c>
      <c r="AA19" s="105">
        <f>Z19*E29</f>
        <v>9719651.8965139221</v>
      </c>
    </row>
    <row r="20" spans="2:28" ht="24.6" customHeight="1" x14ac:dyDescent="0.25">
      <c r="B20" s="8"/>
      <c r="C20" s="15" t="s">
        <v>237</v>
      </c>
      <c r="D20">
        <f>17.3-9.6</f>
        <v>7.7000000000000011</v>
      </c>
      <c r="E20">
        <f>15.4-9.1</f>
        <v>6.3000000000000007</v>
      </c>
      <c r="F20">
        <f>19.2-10.1</f>
        <v>9.1</v>
      </c>
      <c r="G20" s="38" t="s">
        <v>238</v>
      </c>
      <c r="H20" s="11"/>
      <c r="I20" s="5" t="s">
        <v>20</v>
      </c>
      <c r="K20" s="100"/>
      <c r="L20" s="87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2"/>
      <c r="Z20" s="13"/>
      <c r="AA20" s="100"/>
    </row>
    <row r="21" spans="2:28" ht="15" customHeight="1" x14ac:dyDescent="0.25">
      <c r="B21" s="63"/>
      <c r="C21" s="160"/>
      <c r="H21" s="11"/>
      <c r="I21" s="5" t="s">
        <v>20</v>
      </c>
      <c r="K21" s="100"/>
      <c r="L21" s="87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2"/>
      <c r="Z21" s="13"/>
      <c r="AA21" s="100"/>
    </row>
    <row r="22" spans="2:28" ht="15.95" customHeight="1" x14ac:dyDescent="0.25">
      <c r="B22" s="8"/>
      <c r="C22" s="15"/>
      <c r="G22" s="156"/>
      <c r="H22" s="11"/>
      <c r="I22" s="5" t="s">
        <v>20</v>
      </c>
      <c r="J22" s="33"/>
      <c r="K22" s="100"/>
      <c r="L22" s="87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2"/>
      <c r="Z22" s="13"/>
      <c r="AA22" s="100"/>
    </row>
    <row r="23" spans="2:28" x14ac:dyDescent="0.25">
      <c r="B23" s="51" t="s">
        <v>87</v>
      </c>
      <c r="C23" s="32"/>
      <c r="D23" s="32"/>
      <c r="E23" s="32"/>
      <c r="F23" s="32"/>
      <c r="G23" s="32"/>
      <c r="H23" s="41"/>
      <c r="I23" s="5" t="s">
        <v>20</v>
      </c>
      <c r="L23" s="87" t="s">
        <v>95</v>
      </c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>
        <f>D24</f>
        <v>32</v>
      </c>
      <c r="Y23" s="102"/>
      <c r="Z23" s="13">
        <f>(1.15/2)*X23*D28</f>
        <v>864.8</v>
      </c>
      <c r="AA23" s="72">
        <f>Z23*E29</f>
        <v>22156176</v>
      </c>
    </row>
    <row r="24" spans="2:28" ht="17.45" customHeight="1" x14ac:dyDescent="0.25">
      <c r="B24" s="8"/>
      <c r="C24" s="15" t="s">
        <v>239</v>
      </c>
      <c r="D24">
        <v>32</v>
      </c>
      <c r="G24" s="38" t="s">
        <v>104</v>
      </c>
      <c r="H24" s="163"/>
      <c r="I24" s="5" t="s">
        <v>20</v>
      </c>
      <c r="L24" s="87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2"/>
      <c r="Z24" s="13"/>
      <c r="AA24" s="100"/>
    </row>
    <row r="25" spans="2:28" x14ac:dyDescent="0.25">
      <c r="B25" s="8"/>
      <c r="C25" s="15" t="s">
        <v>240</v>
      </c>
      <c r="D25">
        <v>186</v>
      </c>
      <c r="G25" s="38" t="s">
        <v>104</v>
      </c>
      <c r="H25" s="39"/>
      <c r="I25" s="5" t="s">
        <v>20</v>
      </c>
      <c r="L25" s="87"/>
      <c r="N25" s="53"/>
      <c r="R25" s="53"/>
      <c r="X25" s="54"/>
      <c r="Y25" s="102"/>
      <c r="Z25" s="13"/>
      <c r="AA25" s="72"/>
      <c r="AB25" s="27"/>
    </row>
    <row r="26" spans="2:28" ht="22.5" customHeight="1" x14ac:dyDescent="0.25">
      <c r="B26" s="8"/>
      <c r="C26" s="15" t="s">
        <v>241</v>
      </c>
      <c r="D26" s="151">
        <f>D25/C5</f>
        <v>1.6172436429717286E-4</v>
      </c>
      <c r="G26" s="38"/>
      <c r="H26" s="39"/>
      <c r="I26" s="5" t="s">
        <v>20</v>
      </c>
      <c r="L26" s="87"/>
      <c r="N26" s="53"/>
      <c r="R26" s="53"/>
      <c r="X26" s="54"/>
      <c r="Y26" s="102"/>
      <c r="Z26" s="13"/>
      <c r="AA26" s="72"/>
      <c r="AB26" s="27"/>
    </row>
    <row r="27" spans="2:28" ht="30" x14ac:dyDescent="0.25">
      <c r="B27" s="8"/>
      <c r="C27" s="15" t="s">
        <v>242</v>
      </c>
      <c r="D27" s="103">
        <f>D26*2.22</f>
        <v>3.590280887397238E-4</v>
      </c>
      <c r="G27" s="38"/>
      <c r="H27" s="39"/>
      <c r="I27" s="5" t="s">
        <v>20</v>
      </c>
      <c r="J27" s="23" t="s">
        <v>111</v>
      </c>
      <c r="K27" s="28"/>
      <c r="L27" s="119"/>
      <c r="M27" s="24"/>
      <c r="N27" s="120"/>
      <c r="O27" s="24"/>
      <c r="P27" s="24"/>
      <c r="Q27" s="24"/>
      <c r="R27" s="120"/>
      <c r="S27" s="24"/>
      <c r="T27" s="24"/>
      <c r="U27" s="24"/>
      <c r="V27" s="24"/>
      <c r="W27" s="24"/>
      <c r="X27" s="121"/>
      <c r="Y27" s="122"/>
      <c r="Z27" s="123"/>
      <c r="AA27" s="124"/>
    </row>
    <row r="28" spans="2:28" ht="24.6" customHeight="1" x14ac:dyDescent="0.25">
      <c r="B28" s="8"/>
      <c r="C28" s="15" t="s">
        <v>243</v>
      </c>
      <c r="D28" s="53">
        <v>47</v>
      </c>
      <c r="G28" s="38"/>
      <c r="H28" s="163"/>
      <c r="I28" s="5" t="s">
        <v>20</v>
      </c>
      <c r="J28" s="109"/>
      <c r="K28" s="111" t="s">
        <v>114</v>
      </c>
      <c r="L28" s="125"/>
      <c r="M28" s="117"/>
      <c r="N28" s="126"/>
      <c r="O28" s="117"/>
      <c r="P28" s="117"/>
      <c r="Q28" s="117"/>
      <c r="R28" s="126"/>
      <c r="S28" s="117"/>
      <c r="T28" s="117"/>
      <c r="U28" s="117"/>
      <c r="V28" s="117"/>
      <c r="W28" s="117"/>
      <c r="X28" s="127"/>
      <c r="Y28" s="128"/>
      <c r="Z28" s="129"/>
      <c r="AA28" s="130"/>
    </row>
    <row r="29" spans="2:28" ht="24.75" x14ac:dyDescent="0.25">
      <c r="B29" s="8"/>
      <c r="C29" s="15" t="s">
        <v>78</v>
      </c>
      <c r="D29" s="40">
        <v>46770</v>
      </c>
      <c r="E29">
        <v>25620</v>
      </c>
      <c r="F29">
        <v>56250</v>
      </c>
      <c r="G29" s="38" t="s">
        <v>79</v>
      </c>
      <c r="H29" s="11"/>
      <c r="I29" s="5" t="s">
        <v>20</v>
      </c>
      <c r="L29" t="s">
        <v>117</v>
      </c>
      <c r="N29" s="53"/>
      <c r="R29" s="53"/>
      <c r="X29" s="54">
        <f>C7*E34</f>
        <v>106640.03581</v>
      </c>
      <c r="Y29" s="102"/>
      <c r="Z29" s="13">
        <f>X29*E9</f>
        <v>10852.747007212389</v>
      </c>
      <c r="AA29" s="72">
        <f>Z29*D33</f>
        <v>13735779.24967836</v>
      </c>
    </row>
    <row r="30" spans="2:28" x14ac:dyDescent="0.25">
      <c r="B30" s="61"/>
      <c r="C30" s="15"/>
      <c r="D30" s="2"/>
      <c r="G30" s="157"/>
      <c r="H30" s="131"/>
      <c r="I30" s="5" t="s">
        <v>20</v>
      </c>
      <c r="N30" s="53"/>
      <c r="R30" s="53"/>
      <c r="X30" s="54"/>
      <c r="Y30" s="102"/>
      <c r="Z30" s="13"/>
      <c r="AA30" s="72"/>
    </row>
    <row r="31" spans="2:28" ht="28.5" customHeight="1" x14ac:dyDescent="0.25">
      <c r="B31" s="26" t="s">
        <v>111</v>
      </c>
      <c r="C31" s="158"/>
      <c r="D31" s="158"/>
      <c r="E31" s="158"/>
      <c r="F31" s="158"/>
      <c r="G31" s="158"/>
      <c r="H31" s="132"/>
      <c r="I31" s="5" t="s">
        <v>20</v>
      </c>
      <c r="N31" s="53"/>
      <c r="R31" s="53"/>
      <c r="X31" s="54"/>
      <c r="Y31" s="102"/>
      <c r="Z31" s="13"/>
      <c r="AA31" s="72"/>
    </row>
    <row r="32" spans="2:28" x14ac:dyDescent="0.25">
      <c r="B32" s="133" t="s">
        <v>114</v>
      </c>
      <c r="C32" s="117"/>
      <c r="D32" s="117"/>
      <c r="E32" s="117"/>
      <c r="F32" s="117"/>
      <c r="G32" s="117"/>
      <c r="H32" s="118"/>
      <c r="I32" s="5" t="s">
        <v>20</v>
      </c>
      <c r="N32" s="53"/>
      <c r="R32" s="53"/>
      <c r="X32" s="54"/>
      <c r="Y32" s="102"/>
      <c r="Z32" s="13"/>
      <c r="AA32" s="72"/>
    </row>
    <row r="33" spans="2:27" ht="30" x14ac:dyDescent="0.25">
      <c r="B33" s="8"/>
      <c r="C33" s="6" t="s">
        <v>143</v>
      </c>
      <c r="D33" s="40">
        <v>1265.6500000000001</v>
      </c>
      <c r="H33" s="11"/>
      <c r="I33" s="5" t="s">
        <v>20</v>
      </c>
      <c r="L33" t="s">
        <v>121</v>
      </c>
      <c r="N33" s="53"/>
      <c r="R33" s="53"/>
      <c r="X33" s="54">
        <f>C7*E37</f>
        <v>104257.01824999999</v>
      </c>
      <c r="Y33" s="102"/>
      <c r="Z33" s="13">
        <f>X33*E9</f>
        <v>10610.227521017698</v>
      </c>
      <c r="AA33" s="72">
        <f>Z33*D36</f>
        <v>22829018.585359283</v>
      </c>
    </row>
    <row r="34" spans="2:27" x14ac:dyDescent="0.25">
      <c r="B34" s="8"/>
      <c r="C34" t="s">
        <v>244</v>
      </c>
      <c r="D34">
        <v>0.436</v>
      </c>
      <c r="E34">
        <v>0.35799999999999998</v>
      </c>
      <c r="F34">
        <v>0.51600000000000001</v>
      </c>
      <c r="G34" s="38" t="s">
        <v>245</v>
      </c>
      <c r="H34" s="163"/>
      <c r="I34" s="5" t="s">
        <v>20</v>
      </c>
      <c r="N34" s="53"/>
      <c r="R34" s="53"/>
      <c r="X34" s="54"/>
      <c r="Y34" s="102"/>
      <c r="Z34" s="13"/>
      <c r="AA34" s="72"/>
    </row>
    <row r="35" spans="2:27" x14ac:dyDescent="0.25">
      <c r="B35" s="8"/>
      <c r="G35" s="38"/>
      <c r="H35" s="39"/>
      <c r="I35" s="5" t="s">
        <v>20</v>
      </c>
      <c r="N35" s="53"/>
      <c r="R35" s="53"/>
      <c r="X35" s="54"/>
      <c r="Y35" s="102"/>
      <c r="Z35" s="13"/>
      <c r="AA35" s="72"/>
    </row>
    <row r="36" spans="2:27" ht="30" x14ac:dyDescent="0.25">
      <c r="B36" s="8"/>
      <c r="C36" s="6" t="s">
        <v>146</v>
      </c>
      <c r="D36" s="22">
        <f>D33*1.7</f>
        <v>2151.605</v>
      </c>
      <c r="G36" s="38" t="s">
        <v>147</v>
      </c>
      <c r="H36" s="163"/>
      <c r="I36" s="5" t="s">
        <v>20</v>
      </c>
      <c r="N36" s="53"/>
      <c r="R36" s="53"/>
      <c r="X36" s="54"/>
      <c r="Y36" s="102"/>
      <c r="Z36" s="13"/>
      <c r="AA36" s="72"/>
    </row>
    <row r="37" spans="2:27" ht="15.75" thickBot="1" x14ac:dyDescent="0.3">
      <c r="B37" s="20"/>
      <c r="C37" s="21" t="s">
        <v>246</v>
      </c>
      <c r="D37" s="21">
        <v>0.42199999999999999</v>
      </c>
      <c r="E37" s="21">
        <v>0.35</v>
      </c>
      <c r="F37" s="21">
        <v>0.497</v>
      </c>
      <c r="G37" s="140" t="s">
        <v>245</v>
      </c>
      <c r="H37" s="166"/>
      <c r="I37" s="5" t="s">
        <v>20</v>
      </c>
      <c r="N37" s="53"/>
      <c r="R37" s="53"/>
      <c r="X37" s="54"/>
      <c r="Y37" s="102"/>
      <c r="Z37" s="13"/>
      <c r="AA37" s="72"/>
    </row>
    <row r="38" spans="2:27" x14ac:dyDescent="0.25">
      <c r="B38" s="194"/>
      <c r="C38" s="194"/>
      <c r="D38" s="194"/>
      <c r="E38" s="194"/>
      <c r="F38" s="194"/>
      <c r="G38" s="194"/>
      <c r="H38" s="144"/>
      <c r="I38" s="5" t="s">
        <v>20</v>
      </c>
      <c r="AA38" s="72"/>
    </row>
    <row r="39" spans="2:27" x14ac:dyDescent="0.25">
      <c r="I39" s="5" t="s">
        <v>20</v>
      </c>
      <c r="Z39" s="101" t="s">
        <v>127</v>
      </c>
      <c r="AA39" s="59">
        <f>SUM(AA8:AA33)</f>
        <v>69491042.028043509</v>
      </c>
    </row>
    <row r="40" spans="2:27" x14ac:dyDescent="0.25">
      <c r="I40" s="5" t="s">
        <v>20</v>
      </c>
    </row>
    <row r="41" spans="2:27" x14ac:dyDescent="0.25">
      <c r="I41" s="5" t="s">
        <v>20</v>
      </c>
    </row>
    <row r="42" spans="2:27" x14ac:dyDescent="0.25">
      <c r="I42" s="5" t="s">
        <v>20</v>
      </c>
      <c r="M42" s="27"/>
    </row>
    <row r="43" spans="2:27" x14ac:dyDescent="0.25">
      <c r="I43" s="5" t="s">
        <v>20</v>
      </c>
    </row>
    <row r="44" spans="2:27" x14ac:dyDescent="0.25">
      <c r="I44" s="5" t="s">
        <v>20</v>
      </c>
      <c r="M44" s="99"/>
    </row>
    <row r="45" spans="2:27" x14ac:dyDescent="0.25">
      <c r="I45" s="5" t="s">
        <v>20</v>
      </c>
    </row>
    <row r="46" spans="2:27" x14ac:dyDescent="0.25">
      <c r="C46" s="27"/>
      <c r="I46" s="5" t="s">
        <v>20</v>
      </c>
    </row>
    <row r="47" spans="2:27" x14ac:dyDescent="0.25">
      <c r="C47" s="6"/>
      <c r="D47" s="6"/>
      <c r="I47" s="5" t="s">
        <v>20</v>
      </c>
    </row>
    <row r="48" spans="2:27" x14ac:dyDescent="0.25">
      <c r="I48" s="5" t="s">
        <v>20</v>
      </c>
    </row>
    <row r="49" spans="9:12" x14ac:dyDescent="0.25">
      <c r="I49" s="5" t="s">
        <v>20</v>
      </c>
    </row>
    <row r="50" spans="9:12" x14ac:dyDescent="0.25">
      <c r="I50" s="5" t="s">
        <v>20</v>
      </c>
    </row>
    <row r="51" spans="9:12" ht="26.1" customHeight="1" x14ac:dyDescent="0.25">
      <c r="I51" s="5" t="s">
        <v>20</v>
      </c>
    </row>
    <row r="52" spans="9:12" x14ac:dyDescent="0.25">
      <c r="I52" s="5" t="s">
        <v>20</v>
      </c>
    </row>
    <row r="53" spans="9:12" x14ac:dyDescent="0.25">
      <c r="I53" s="5" t="s">
        <v>20</v>
      </c>
    </row>
    <row r="54" spans="9:12" x14ac:dyDescent="0.25">
      <c r="I54" s="5" t="s">
        <v>20</v>
      </c>
    </row>
    <row r="55" spans="9:12" x14ac:dyDescent="0.25">
      <c r="I55" s="5" t="s">
        <v>20</v>
      </c>
    </row>
    <row r="56" spans="9:12" x14ac:dyDescent="0.25">
      <c r="I56" s="5" t="s">
        <v>20</v>
      </c>
      <c r="K56" s="15"/>
    </row>
    <row r="57" spans="9:12" x14ac:dyDescent="0.25">
      <c r="I57" s="5" t="s">
        <v>20</v>
      </c>
    </row>
    <row r="58" spans="9:12" x14ac:dyDescent="0.25">
      <c r="I58" s="5" t="s">
        <v>20</v>
      </c>
      <c r="L58" s="13"/>
    </row>
    <row r="59" spans="9:12" x14ac:dyDescent="0.25">
      <c r="I59" s="5" t="s">
        <v>20</v>
      </c>
    </row>
    <row r="60" spans="9:12" x14ac:dyDescent="0.25">
      <c r="I60" s="5" t="s">
        <v>20</v>
      </c>
    </row>
    <row r="61" spans="9:12" ht="16.5" customHeight="1" x14ac:dyDescent="0.25">
      <c r="I61" s="5" t="s">
        <v>20</v>
      </c>
    </row>
    <row r="62" spans="9:12" x14ac:dyDescent="0.25">
      <c r="I62" s="5" t="s">
        <v>20</v>
      </c>
    </row>
    <row r="63" spans="9:12" x14ac:dyDescent="0.25">
      <c r="I63" s="5" t="s">
        <v>20</v>
      </c>
    </row>
    <row r="64" spans="9:12" x14ac:dyDescent="0.25">
      <c r="I64" s="5" t="s">
        <v>20</v>
      </c>
      <c r="J64" s="80"/>
    </row>
    <row r="65" spans="9:10" x14ac:dyDescent="0.25">
      <c r="I65" s="5" t="s">
        <v>20</v>
      </c>
    </row>
    <row r="66" spans="9:10" x14ac:dyDescent="0.25">
      <c r="I66" s="5" t="s">
        <v>20</v>
      </c>
    </row>
    <row r="67" spans="9:10" x14ac:dyDescent="0.25">
      <c r="I67" s="5" t="s">
        <v>20</v>
      </c>
    </row>
    <row r="68" spans="9:10" x14ac:dyDescent="0.25">
      <c r="I68" s="5" t="s">
        <v>20</v>
      </c>
      <c r="J68" s="6"/>
    </row>
    <row r="69" spans="9:10" x14ac:dyDescent="0.25">
      <c r="I69" s="5" t="s">
        <v>20</v>
      </c>
    </row>
    <row r="70" spans="9:10" x14ac:dyDescent="0.25">
      <c r="I70" s="5" t="s">
        <v>20</v>
      </c>
    </row>
    <row r="71" spans="9:10" x14ac:dyDescent="0.25">
      <c r="I71" s="5" t="s">
        <v>20</v>
      </c>
    </row>
    <row r="72" spans="9:10" x14ac:dyDescent="0.25">
      <c r="I72" s="5" t="s">
        <v>20</v>
      </c>
    </row>
    <row r="73" spans="9:10" x14ac:dyDescent="0.25">
      <c r="I73" s="5" t="s">
        <v>20</v>
      </c>
    </row>
    <row r="74" spans="9:10" x14ac:dyDescent="0.25">
      <c r="I74" s="5" t="s">
        <v>20</v>
      </c>
    </row>
    <row r="75" spans="9:10" x14ac:dyDescent="0.25">
      <c r="I75" s="5" t="s">
        <v>20</v>
      </c>
    </row>
    <row r="76" spans="9:10" x14ac:dyDescent="0.25">
      <c r="I76" s="5" t="s">
        <v>20</v>
      </c>
    </row>
    <row r="77" spans="9:10" x14ac:dyDescent="0.25">
      <c r="I77" s="5" t="s">
        <v>20</v>
      </c>
    </row>
    <row r="78" spans="9:10" x14ac:dyDescent="0.25">
      <c r="I78" s="5" t="s">
        <v>20</v>
      </c>
    </row>
    <row r="79" spans="9:10" x14ac:dyDescent="0.25">
      <c r="I79" s="5" t="s">
        <v>20</v>
      </c>
    </row>
    <row r="80" spans="9:10" x14ac:dyDescent="0.25">
      <c r="I80" s="5" t="s">
        <v>20</v>
      </c>
    </row>
    <row r="81" spans="9:9" x14ac:dyDescent="0.25">
      <c r="I81" s="5" t="s">
        <v>20</v>
      </c>
    </row>
    <row r="82" spans="9:9" x14ac:dyDescent="0.25">
      <c r="I82" s="5" t="s">
        <v>20</v>
      </c>
    </row>
    <row r="83" spans="9:9" x14ac:dyDescent="0.25">
      <c r="I83" s="5" t="s">
        <v>20</v>
      </c>
    </row>
    <row r="84" spans="9:9" x14ac:dyDescent="0.25">
      <c r="I84" s="5" t="s">
        <v>20</v>
      </c>
    </row>
    <row r="85" spans="9:9" x14ac:dyDescent="0.25">
      <c r="I85" s="5" t="s">
        <v>20</v>
      </c>
    </row>
    <row r="86" spans="9:9" x14ac:dyDescent="0.25">
      <c r="I86" s="5" t="s">
        <v>20</v>
      </c>
    </row>
    <row r="87" spans="9:9" x14ac:dyDescent="0.25">
      <c r="I87" s="5" t="s">
        <v>20</v>
      </c>
    </row>
  </sheetData>
  <mergeCells count="7">
    <mergeCell ref="B38:G38"/>
    <mergeCell ref="B2:G3"/>
    <mergeCell ref="F11:G11"/>
    <mergeCell ref="J12:AA12"/>
    <mergeCell ref="K13:AA13"/>
    <mergeCell ref="K18:AA18"/>
    <mergeCell ref="J2:AA3"/>
  </mergeCells>
  <hyperlinks>
    <hyperlink ref="G8" r:id="rId1" xr:uid="{48BF480A-50C9-482E-ADBD-2EE051087525}"/>
    <hyperlink ref="G13" r:id="rId2" xr:uid="{37AD80F1-2104-4EB0-A6BF-8D4A5E2CDA33}"/>
    <hyperlink ref="G24" r:id="rId3" xr:uid="{682361B3-970F-475A-89C8-30C1FF63EC8E}"/>
    <hyperlink ref="G25" r:id="rId4" xr:uid="{52462CF4-F2DB-4400-AE9E-A2511CFBA1D4}"/>
    <hyperlink ref="G20" r:id="rId5" xr:uid="{EEC5B849-C4BA-489B-BCEE-D92112CCD397}"/>
    <hyperlink ref="G29" r:id="rId6" xr:uid="{211FCA42-7B9E-4284-80B5-19133FA90D12}"/>
    <hyperlink ref="G12" r:id="rId7" xr:uid="{F4BF587F-0A2A-4B2F-B0D3-08BB5912019D}"/>
    <hyperlink ref="G14" r:id="rId8" xr:uid="{57F181EB-3D02-49AF-B5C6-A98BCFA867F5}"/>
    <hyperlink ref="G17" r:id="rId9" xr:uid="{28B02CD2-5EEC-4A41-8B5C-B187146477E1}"/>
    <hyperlink ref="G6" r:id="rId10" xr:uid="{957E8B13-2EE7-420B-939B-E8F02DF22F74}"/>
    <hyperlink ref="G18" r:id="rId11" xr:uid="{78E6759E-A88E-4237-A4E1-648045C8AAF0}"/>
    <hyperlink ref="G19" r:id="rId12" xr:uid="{C75AA7E2-7A84-493A-969D-2C6EF128200D}"/>
    <hyperlink ref="G34" r:id="rId13" xr:uid="{5ADD77F5-F397-4F35-BB87-4949CB9AE9DF}"/>
    <hyperlink ref="G37" r:id="rId14" xr:uid="{546E6C06-27BB-4601-8E17-EF76ECD6BB34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7E7D-451C-4FE5-83AB-7783C36DD025}">
  <dimension ref="B1:AB90"/>
  <sheetViews>
    <sheetView topLeftCell="F7" zoomScale="70" zoomScaleNormal="70" workbookViewId="0">
      <selection activeCell="H7" sqref="H1:H1048576"/>
    </sheetView>
  </sheetViews>
  <sheetFormatPr defaultRowHeight="15" x14ac:dyDescent="0.25"/>
  <cols>
    <col min="2" max="2" width="27.42578125" customWidth="1"/>
    <col min="3" max="3" width="33.140625" customWidth="1"/>
    <col min="4" max="4" width="16.85546875" bestFit="1" customWidth="1"/>
    <col min="5" max="5" width="12.7109375" customWidth="1"/>
    <col min="6" max="6" width="12.42578125" bestFit="1" customWidth="1"/>
    <col min="7" max="7" width="53.85546875" customWidth="1"/>
    <col min="8" max="8" width="11.140625" customWidth="1"/>
    <col min="10" max="10" width="25.28515625" customWidth="1"/>
    <col min="11" max="11" width="30" bestFit="1" customWidth="1"/>
    <col min="13" max="13" width="16.42578125" customWidth="1"/>
    <col min="14" max="14" width="13" customWidth="1"/>
    <col min="15" max="15" width="11.85546875" customWidth="1"/>
    <col min="16" max="16" width="12.5703125" customWidth="1"/>
    <col min="18" max="18" width="12.7109375" customWidth="1"/>
    <col min="19" max="20" width="10.85546875" customWidth="1"/>
    <col min="24" max="24" width="13.85546875" customWidth="1"/>
    <col min="26" max="26" width="28.85546875" customWidth="1"/>
    <col min="27" max="27" width="24.140625" customWidth="1"/>
    <col min="28" max="28" width="20.42578125" customWidth="1"/>
  </cols>
  <sheetData>
    <row r="1" spans="2:28" ht="15.75" thickBot="1" x14ac:dyDescent="0.3"/>
    <row r="2" spans="2:28" ht="15" customHeight="1" x14ac:dyDescent="0.25">
      <c r="B2" s="188" t="s">
        <v>0</v>
      </c>
      <c r="C2" s="189"/>
      <c r="D2" s="189"/>
      <c r="E2" s="189"/>
      <c r="F2" s="189"/>
      <c r="G2" s="189"/>
      <c r="H2" s="141"/>
      <c r="J2" s="191" t="s">
        <v>1</v>
      </c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</row>
    <row r="3" spans="2:28" ht="14.45" customHeight="1" x14ac:dyDescent="0.25">
      <c r="B3" s="190"/>
      <c r="C3" s="191"/>
      <c r="D3" s="191"/>
      <c r="E3" s="191"/>
      <c r="F3" s="191"/>
      <c r="G3" s="191"/>
      <c r="H3" s="142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</row>
    <row r="4" spans="2:28" x14ac:dyDescent="0.25">
      <c r="B4" s="8"/>
      <c r="C4" s="145" t="s">
        <v>2</v>
      </c>
      <c r="D4" s="145" t="s">
        <v>3</v>
      </c>
      <c r="E4" s="145" t="s">
        <v>4</v>
      </c>
      <c r="F4" s="145" t="s">
        <v>5</v>
      </c>
      <c r="G4" s="145" t="s">
        <v>6</v>
      </c>
      <c r="H4" s="9"/>
    </row>
    <row r="5" spans="2:28" ht="42" customHeight="1" x14ac:dyDescent="0.25">
      <c r="B5" s="10" t="s">
        <v>7</v>
      </c>
      <c r="C5">
        <v>5029000</v>
      </c>
      <c r="H5" s="11"/>
      <c r="J5" s="23"/>
      <c r="K5" s="23"/>
      <c r="L5" s="23"/>
      <c r="M5" s="23"/>
      <c r="N5" s="23" t="s">
        <v>8</v>
      </c>
      <c r="O5" s="23" t="s">
        <v>8</v>
      </c>
      <c r="P5" s="23" t="s">
        <v>9</v>
      </c>
      <c r="Q5" s="23"/>
      <c r="R5" s="23" t="s">
        <v>10</v>
      </c>
      <c r="S5" s="23" t="s">
        <v>10</v>
      </c>
      <c r="T5" s="23" t="s">
        <v>11</v>
      </c>
      <c r="U5" s="23"/>
      <c r="V5" s="23" t="s">
        <v>12</v>
      </c>
      <c r="W5" s="23"/>
      <c r="X5" s="23" t="s">
        <v>13</v>
      </c>
      <c r="Y5" s="23"/>
      <c r="Z5" s="23" t="s">
        <v>14</v>
      </c>
      <c r="AA5" s="23" t="s">
        <v>15</v>
      </c>
      <c r="AB5" s="23" t="s">
        <v>6</v>
      </c>
    </row>
    <row r="6" spans="2:28" ht="36" customHeight="1" x14ac:dyDescent="0.25">
      <c r="B6" s="10" t="s">
        <v>18</v>
      </c>
      <c r="C6">
        <v>4733000</v>
      </c>
      <c r="D6">
        <v>94.1</v>
      </c>
      <c r="E6">
        <v>92.3</v>
      </c>
      <c r="F6">
        <v>95.5</v>
      </c>
      <c r="G6" s="138" t="s">
        <v>19</v>
      </c>
      <c r="H6" s="12"/>
      <c r="I6" s="5" t="s">
        <v>20</v>
      </c>
      <c r="J6" s="6"/>
      <c r="K6" s="6"/>
      <c r="L6" s="6"/>
      <c r="M6" s="6" t="s">
        <v>21</v>
      </c>
      <c r="N6" s="7" t="s">
        <v>22</v>
      </c>
      <c r="O6" s="7" t="s">
        <v>23</v>
      </c>
      <c r="P6" s="7" t="s">
        <v>24</v>
      </c>
      <c r="Q6" s="7"/>
      <c r="R6" s="7" t="s">
        <v>25</v>
      </c>
      <c r="S6" s="7" t="s">
        <v>26</v>
      </c>
      <c r="T6" s="7" t="s">
        <v>27</v>
      </c>
      <c r="U6" s="6"/>
      <c r="V6" s="6"/>
      <c r="W6" s="6"/>
      <c r="X6" s="6"/>
      <c r="Y6" s="6"/>
      <c r="Z6" s="6"/>
      <c r="AA6" s="6"/>
    </row>
    <row r="7" spans="2:28" ht="34.5" customHeight="1" x14ac:dyDescent="0.25">
      <c r="B7" s="10" t="s">
        <v>28</v>
      </c>
      <c r="C7" s="2">
        <v>296000</v>
      </c>
      <c r="D7">
        <v>5.9</v>
      </c>
      <c r="E7">
        <v>4.5</v>
      </c>
      <c r="F7">
        <v>7.7</v>
      </c>
      <c r="G7" s="138" t="s">
        <v>19</v>
      </c>
      <c r="H7" s="12"/>
      <c r="I7" s="5" t="s">
        <v>20</v>
      </c>
      <c r="J7" s="23" t="s">
        <v>29</v>
      </c>
      <c r="K7" s="43" t="s">
        <v>30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2:28" x14ac:dyDescent="0.25">
      <c r="B8" s="10" t="s">
        <v>31</v>
      </c>
      <c r="D8" s="13">
        <f>D7*0.525</f>
        <v>3.0975000000000001</v>
      </c>
      <c r="E8" s="13">
        <f>E7*0.525</f>
        <v>2.3625000000000003</v>
      </c>
      <c r="F8" s="13">
        <f>F7*0.52</f>
        <v>4.0040000000000004</v>
      </c>
      <c r="H8" s="11"/>
      <c r="I8" s="5" t="s">
        <v>20</v>
      </c>
      <c r="L8" t="s">
        <v>32</v>
      </c>
      <c r="M8">
        <v>20880</v>
      </c>
      <c r="N8" s="53">
        <f>((1-D19)*M8)</f>
        <v>12528</v>
      </c>
      <c r="O8">
        <f>C10</f>
        <v>3887000</v>
      </c>
      <c r="P8">
        <f>N8/O8</f>
        <v>3.2230511962953435E-3</v>
      </c>
      <c r="R8" s="53">
        <f>D19*M8</f>
        <v>8352</v>
      </c>
      <c r="S8" s="2">
        <f>C13</f>
        <v>846000</v>
      </c>
      <c r="T8">
        <f>R8/S8</f>
        <v>9.8723404255319155E-3</v>
      </c>
      <c r="V8">
        <f>T8-P8</f>
        <v>6.6492892292365716E-3</v>
      </c>
      <c r="X8" s="54">
        <f>V8*S8</f>
        <v>5625.2986879341397</v>
      </c>
      <c r="Z8" s="54">
        <f>X8*F15</f>
        <v>1699.5575623362517</v>
      </c>
      <c r="AA8" s="59">
        <f>Z8*F20*F21</f>
        <v>16839896.150652517</v>
      </c>
      <c r="AB8" s="27" t="s">
        <v>33</v>
      </c>
    </row>
    <row r="9" spans="2:28" x14ac:dyDescent="0.25">
      <c r="B9" s="10"/>
      <c r="D9" s="13"/>
      <c r="E9" s="13"/>
      <c r="F9" s="13"/>
      <c r="H9" s="11"/>
      <c r="I9" s="5"/>
      <c r="N9" s="53"/>
      <c r="R9" s="53"/>
      <c r="X9" s="54"/>
      <c r="Z9" s="54"/>
      <c r="AA9" s="59"/>
      <c r="AB9" s="27"/>
    </row>
    <row r="10" spans="2:28" ht="24.75" x14ac:dyDescent="0.25">
      <c r="B10" s="10" t="s">
        <v>35</v>
      </c>
      <c r="C10">
        <f>C5-C11</f>
        <v>3887000</v>
      </c>
      <c r="D10" s="13">
        <f>C10/C5</f>
        <v>0.77291708093060252</v>
      </c>
      <c r="E10" s="13">
        <v>0.74</v>
      </c>
      <c r="F10" s="13">
        <v>0.8</v>
      </c>
      <c r="G10" s="138" t="s">
        <v>19</v>
      </c>
      <c r="H10" s="12"/>
      <c r="I10" s="5" t="s">
        <v>20</v>
      </c>
      <c r="N10" s="53"/>
      <c r="R10" s="53"/>
      <c r="X10" s="54"/>
      <c r="Z10" s="54"/>
      <c r="AA10" s="59"/>
      <c r="AB10" s="27"/>
    </row>
    <row r="11" spans="2:28" ht="24.75" x14ac:dyDescent="0.25">
      <c r="B11" s="10" t="s">
        <v>37</v>
      </c>
      <c r="C11">
        <v>1142000</v>
      </c>
      <c r="D11" s="75">
        <f>C11/C5</f>
        <v>0.22708291906939748</v>
      </c>
      <c r="E11" s="75">
        <v>0.20100000000000001</v>
      </c>
      <c r="F11" s="75">
        <v>0.25600000000000001</v>
      </c>
      <c r="G11" s="138" t="s">
        <v>19</v>
      </c>
      <c r="H11" s="12"/>
      <c r="I11" s="5" t="s">
        <v>20</v>
      </c>
      <c r="N11" s="53"/>
      <c r="R11" s="53"/>
      <c r="X11" s="54"/>
      <c r="Z11" s="54"/>
      <c r="AA11" s="59"/>
      <c r="AB11" s="27"/>
    </row>
    <row r="12" spans="2:28" x14ac:dyDescent="0.25">
      <c r="B12" s="10"/>
      <c r="D12" s="13"/>
      <c r="E12" s="13"/>
      <c r="F12" s="13"/>
      <c r="H12" s="11"/>
      <c r="I12" s="5" t="s">
        <v>20</v>
      </c>
      <c r="N12" s="53"/>
      <c r="R12" s="53"/>
      <c r="X12" s="54"/>
      <c r="Z12" s="54"/>
      <c r="AA12" s="59"/>
      <c r="AB12" s="27"/>
    </row>
    <row r="13" spans="2:28" x14ac:dyDescent="0.25">
      <c r="B13" s="10" t="s">
        <v>38</v>
      </c>
      <c r="C13" s="2">
        <f>C11-C7</f>
        <v>846000</v>
      </c>
      <c r="D13" s="13">
        <f>C13/C5</f>
        <v>0.16822429906542055</v>
      </c>
      <c r="E13" s="13"/>
      <c r="F13" s="13"/>
      <c r="H13" s="11"/>
      <c r="I13" s="5" t="s">
        <v>20</v>
      </c>
      <c r="N13" s="53"/>
      <c r="R13" s="53"/>
      <c r="X13" s="54"/>
      <c r="Z13" s="54"/>
      <c r="AA13" s="59"/>
      <c r="AB13" s="27"/>
    </row>
    <row r="14" spans="2:28" x14ac:dyDescent="0.25">
      <c r="B14" s="10" t="s">
        <v>39</v>
      </c>
      <c r="D14" s="56">
        <f>D11*0.268</f>
        <v>6.085822231059853E-2</v>
      </c>
      <c r="E14">
        <f>E11*0.268</f>
        <v>5.3868000000000006E-2</v>
      </c>
      <c r="F14">
        <f>F11*0.268</f>
        <v>6.8608000000000002E-2</v>
      </c>
      <c r="H14" s="11"/>
      <c r="I14" s="5" t="s">
        <v>20</v>
      </c>
      <c r="L14" t="s">
        <v>40</v>
      </c>
      <c r="M14">
        <v>27180</v>
      </c>
      <c r="N14" s="53">
        <f>((1-D23)*M14)</f>
        <v>16308</v>
      </c>
      <c r="O14">
        <f>C10</f>
        <v>3887000</v>
      </c>
      <c r="P14">
        <f>N14/O14</f>
        <v>4.1955235400051452E-3</v>
      </c>
      <c r="R14" s="53">
        <f>D23*M14</f>
        <v>10872</v>
      </c>
      <c r="S14" s="2">
        <f>C13</f>
        <v>846000</v>
      </c>
      <c r="T14">
        <f>R14/S14</f>
        <v>1.2851063829787235E-2</v>
      </c>
      <c r="V14">
        <f>T14-P14</f>
        <v>8.6555402897820904E-3</v>
      </c>
      <c r="X14" s="54">
        <f>V14*S14</f>
        <v>7322.5870851556483</v>
      </c>
      <c r="Z14" s="54">
        <f>X14*F15</f>
        <v>2212.3551026963278</v>
      </c>
      <c r="AA14" s="59">
        <f>Z14*D24*F25</f>
        <v>212572193.17008626</v>
      </c>
    </row>
    <row r="15" spans="2:28" ht="24.75" x14ac:dyDescent="0.25">
      <c r="B15" s="10" t="s">
        <v>41</v>
      </c>
      <c r="D15">
        <v>0.26800000000000002</v>
      </c>
      <c r="E15" s="146">
        <f>E14/D11</f>
        <v>0.23721731348511388</v>
      </c>
      <c r="F15">
        <f>F14/D11</f>
        <v>0.3021275236427321</v>
      </c>
      <c r="H15" s="11"/>
      <c r="I15" s="5" t="s">
        <v>20</v>
      </c>
      <c r="N15" s="53"/>
      <c r="R15" s="53"/>
      <c r="X15" s="54"/>
      <c r="Z15" s="54"/>
      <c r="AA15" s="59"/>
    </row>
    <row r="16" spans="2:28" ht="17.45" customHeight="1" x14ac:dyDescent="0.25">
      <c r="B16" s="10" t="s">
        <v>42</v>
      </c>
      <c r="D16" s="53">
        <f>C13*D15</f>
        <v>226728</v>
      </c>
      <c r="E16" s="53">
        <f>C13*E15</f>
        <v>200685.84720840634</v>
      </c>
      <c r="F16" s="53">
        <f>C13*F15</f>
        <v>255599.88500175136</v>
      </c>
      <c r="H16" s="11"/>
      <c r="I16" s="5" t="s">
        <v>20</v>
      </c>
      <c r="N16" s="53"/>
      <c r="R16" s="53"/>
      <c r="X16" s="54"/>
      <c r="Z16" s="54"/>
      <c r="AA16" s="59"/>
    </row>
    <row r="17" spans="2:28" ht="29.45" customHeight="1" x14ac:dyDescent="0.25">
      <c r="B17" s="26" t="s">
        <v>29</v>
      </c>
      <c r="C17" s="24"/>
      <c r="D17" s="24"/>
      <c r="E17" s="24"/>
      <c r="F17" s="24"/>
      <c r="G17" s="24"/>
      <c r="H17" s="25"/>
      <c r="I17" s="5" t="s">
        <v>20</v>
      </c>
      <c r="N17" s="53"/>
      <c r="R17" s="53"/>
      <c r="X17" s="54"/>
      <c r="Z17" s="54"/>
      <c r="AA17" s="59"/>
      <c r="AB17" s="27" t="s">
        <v>33</v>
      </c>
    </row>
    <row r="18" spans="2:28" ht="20.45" customHeight="1" x14ac:dyDescent="0.25">
      <c r="B18" s="48" t="s">
        <v>43</v>
      </c>
      <c r="C18" s="3"/>
      <c r="D18" s="3"/>
      <c r="E18" s="3"/>
      <c r="F18" s="192"/>
      <c r="G18" s="192"/>
      <c r="H18" s="143"/>
      <c r="I18" s="5" t="s">
        <v>20</v>
      </c>
      <c r="K18" s="44" t="s">
        <v>44</v>
      </c>
      <c r="L18" s="4"/>
      <c r="M18" s="4"/>
      <c r="N18" s="76"/>
      <c r="O18" s="4"/>
      <c r="P18" s="4"/>
      <c r="Q18" s="4"/>
      <c r="R18" s="76"/>
      <c r="S18" s="4"/>
      <c r="T18" s="4"/>
      <c r="U18" s="4"/>
      <c r="V18" s="4"/>
      <c r="W18" s="4"/>
      <c r="X18" s="64"/>
      <c r="Y18" s="4"/>
      <c r="Z18" s="64"/>
      <c r="AA18" s="68"/>
    </row>
    <row r="19" spans="2:28" ht="12.95" customHeight="1" x14ac:dyDescent="0.25">
      <c r="B19" s="14" t="s">
        <v>45</v>
      </c>
      <c r="C19" s="15" t="s">
        <v>46</v>
      </c>
      <c r="D19" s="13">
        <f>SUM(2/5)</f>
        <v>0.4</v>
      </c>
      <c r="E19" s="164"/>
      <c r="F19" s="164"/>
      <c r="G19" s="138" t="s">
        <v>47</v>
      </c>
      <c r="H19" s="11"/>
      <c r="I19" s="5" t="s">
        <v>20</v>
      </c>
      <c r="L19" t="s">
        <v>48</v>
      </c>
      <c r="M19">
        <v>5625</v>
      </c>
      <c r="N19" s="53"/>
      <c r="R19" s="53"/>
      <c r="X19" s="54"/>
      <c r="Z19" s="54"/>
      <c r="AA19" s="59"/>
    </row>
    <row r="20" spans="2:28" x14ac:dyDescent="0.25">
      <c r="B20" s="8"/>
      <c r="C20" s="147" t="s">
        <v>49</v>
      </c>
      <c r="D20" s="16">
        <v>54</v>
      </c>
      <c r="E20" s="164">
        <v>22</v>
      </c>
      <c r="F20" s="164">
        <v>276</v>
      </c>
      <c r="G20" s="138" t="s">
        <v>50</v>
      </c>
      <c r="H20" s="11"/>
      <c r="I20" s="5" t="s">
        <v>20</v>
      </c>
      <c r="L20" t="s">
        <v>51</v>
      </c>
      <c r="M20">
        <f>M19-M24</f>
        <v>5222</v>
      </c>
      <c r="N20" s="53">
        <f>((1-D28)*M20)</f>
        <v>2872.1000000000004</v>
      </c>
      <c r="O20">
        <f>C10</f>
        <v>3887000</v>
      </c>
      <c r="P20">
        <f>N20/O20</f>
        <v>7.3889889374839212E-4</v>
      </c>
      <c r="R20" s="53">
        <f>D28*M20</f>
        <v>2349.9</v>
      </c>
      <c r="S20" s="2">
        <f>C13</f>
        <v>846000</v>
      </c>
      <c r="T20">
        <f>R20/S20</f>
        <v>2.7776595744680851E-3</v>
      </c>
      <c r="V20">
        <f>T20-P20</f>
        <v>2.038760680719693E-3</v>
      </c>
      <c r="X20" s="54">
        <f>V20*S20</f>
        <v>1724.7915358888604</v>
      </c>
      <c r="Z20" s="54">
        <f>X20*F15</f>
        <v>521.10699553804591</v>
      </c>
      <c r="AA20" s="59">
        <f>Z20*D31*F29</f>
        <v>10185087.748854525</v>
      </c>
    </row>
    <row r="21" spans="2:28" ht="15" customHeight="1" x14ac:dyDescent="0.25">
      <c r="B21" s="8"/>
      <c r="C21" s="15" t="s">
        <v>52</v>
      </c>
      <c r="D21">
        <v>26</v>
      </c>
      <c r="E21" s="164">
        <v>10.1</v>
      </c>
      <c r="F21" s="164">
        <v>35.9</v>
      </c>
      <c r="G21" s="138" t="s">
        <v>53</v>
      </c>
      <c r="H21" s="11"/>
      <c r="I21" s="5" t="s">
        <v>20</v>
      </c>
      <c r="N21" s="53"/>
      <c r="R21" s="53"/>
      <c r="X21" s="54"/>
      <c r="Z21" s="54"/>
      <c r="AA21" s="59"/>
    </row>
    <row r="22" spans="2:28" ht="15.95" customHeight="1" x14ac:dyDescent="0.25">
      <c r="B22" s="8"/>
      <c r="C22" s="15"/>
      <c r="H22" s="11"/>
      <c r="I22" s="5" t="s">
        <v>20</v>
      </c>
      <c r="N22" s="53"/>
      <c r="R22" s="53"/>
      <c r="X22" s="54"/>
      <c r="Z22" s="54"/>
      <c r="AA22" s="59"/>
      <c r="AB22" s="1" t="s">
        <v>54</v>
      </c>
    </row>
    <row r="23" spans="2:28" ht="24.6" customHeight="1" x14ac:dyDescent="0.25">
      <c r="B23" s="17" t="s">
        <v>55</v>
      </c>
      <c r="C23" s="15" t="s">
        <v>56</v>
      </c>
      <c r="D23" s="13">
        <f>SUM(2/5)</f>
        <v>0.4</v>
      </c>
      <c r="E23" s="164"/>
      <c r="F23" s="164"/>
      <c r="G23" s="138" t="s">
        <v>47</v>
      </c>
      <c r="H23" s="11"/>
      <c r="I23" s="5" t="s">
        <v>20</v>
      </c>
      <c r="N23" s="53"/>
      <c r="R23" s="53"/>
      <c r="X23" s="54"/>
      <c r="Z23" s="54"/>
      <c r="AA23" s="59"/>
    </row>
    <row r="24" spans="2:28" ht="17.45" customHeight="1" x14ac:dyDescent="0.25">
      <c r="B24" s="8"/>
      <c r="C24" s="15" t="s">
        <v>57</v>
      </c>
      <c r="D24" s="16">
        <v>52.62</v>
      </c>
      <c r="E24" s="164"/>
      <c r="F24" s="164"/>
      <c r="G24" s="138" t="s">
        <v>58</v>
      </c>
      <c r="H24" s="11"/>
      <c r="I24" s="5" t="s">
        <v>20</v>
      </c>
      <c r="L24" t="s">
        <v>59</v>
      </c>
      <c r="M24">
        <v>403</v>
      </c>
      <c r="N24" s="53">
        <f>((1-D28)*M24)</f>
        <v>221.65</v>
      </c>
      <c r="O24">
        <f>C10</f>
        <v>3887000</v>
      </c>
      <c r="P24">
        <f>N24/O24</f>
        <v>5.7023411371237462E-5</v>
      </c>
      <c r="R24" s="53">
        <f>D28*M24</f>
        <v>181.35</v>
      </c>
      <c r="S24" s="2">
        <f>C13</f>
        <v>846000</v>
      </c>
      <c r="T24">
        <f>R24/S24</f>
        <v>2.1436170212765958E-4</v>
      </c>
      <c r="V24">
        <f>T24-P24</f>
        <v>1.5733829075642212E-4</v>
      </c>
      <c r="X24" s="54">
        <f>V24*S24</f>
        <v>133.10819397993311</v>
      </c>
      <c r="Z24" s="54">
        <f>X24*F15</f>
        <v>40.21564902371361</v>
      </c>
      <c r="AA24" s="59">
        <f>Z24*D31*F32</f>
        <v>846303.46673634928</v>
      </c>
    </row>
    <row r="25" spans="2:28" ht="24" x14ac:dyDescent="0.25">
      <c r="B25" s="8"/>
      <c r="C25" s="147" t="s">
        <v>274</v>
      </c>
      <c r="D25">
        <f>2.7*365</f>
        <v>985.50000000000011</v>
      </c>
      <c r="E25" s="164">
        <v>182.5</v>
      </c>
      <c r="F25" s="164">
        <v>1826</v>
      </c>
      <c r="G25" s="138" t="s">
        <v>61</v>
      </c>
      <c r="H25" s="11"/>
      <c r="I25" s="5" t="s">
        <v>20</v>
      </c>
      <c r="N25" s="53"/>
      <c r="R25" s="53"/>
      <c r="X25" s="54"/>
      <c r="Z25" s="54"/>
      <c r="AA25" s="59"/>
    </row>
    <row r="26" spans="2:28" ht="26.45" customHeight="1" x14ac:dyDescent="0.25">
      <c r="B26" s="8"/>
      <c r="C26" s="147"/>
      <c r="G26" s="138"/>
      <c r="H26" s="11"/>
      <c r="I26" s="5" t="s">
        <v>20</v>
      </c>
      <c r="N26" s="53"/>
      <c r="R26" s="53"/>
      <c r="X26" s="54"/>
      <c r="Z26" s="54"/>
      <c r="AA26" s="59"/>
    </row>
    <row r="27" spans="2:28" x14ac:dyDescent="0.25">
      <c r="B27" s="49" t="s">
        <v>44</v>
      </c>
      <c r="C27" s="148"/>
      <c r="D27" s="4"/>
      <c r="E27" s="4"/>
      <c r="F27" s="4"/>
      <c r="G27" s="4"/>
      <c r="H27" s="18"/>
      <c r="I27" s="5" t="s">
        <v>20</v>
      </c>
      <c r="J27" s="33"/>
      <c r="N27" s="53"/>
      <c r="R27" s="53"/>
      <c r="X27" s="54"/>
      <c r="Z27" s="54"/>
      <c r="AA27" s="59"/>
    </row>
    <row r="28" spans="2:28" ht="24.6" customHeight="1" x14ac:dyDescent="0.25">
      <c r="B28" s="8"/>
      <c r="C28" s="15" t="s">
        <v>63</v>
      </c>
      <c r="D28">
        <v>0.45</v>
      </c>
      <c r="G28" s="138" t="s">
        <v>64</v>
      </c>
      <c r="H28" s="11"/>
      <c r="I28" s="5" t="s">
        <v>20</v>
      </c>
      <c r="J28" s="29" t="s">
        <v>65</v>
      </c>
      <c r="K28" s="28"/>
      <c r="L28" s="28"/>
      <c r="M28" s="28"/>
      <c r="N28" s="77"/>
      <c r="O28" s="28"/>
      <c r="P28" s="28"/>
      <c r="Q28" s="28"/>
      <c r="R28" s="77"/>
      <c r="S28" s="28"/>
      <c r="T28" s="28"/>
      <c r="U28" s="28"/>
      <c r="V28" s="28"/>
      <c r="W28" s="28"/>
      <c r="X28" s="65"/>
      <c r="Y28" s="28"/>
      <c r="Z28" s="65"/>
      <c r="AA28" s="69"/>
    </row>
    <row r="29" spans="2:28" ht="14.45" customHeight="1" x14ac:dyDescent="0.25">
      <c r="B29" s="8"/>
      <c r="C29" s="15" t="s">
        <v>66</v>
      </c>
      <c r="D29">
        <f>30*4.7</f>
        <v>141</v>
      </c>
      <c r="E29">
        <f>2.1*30</f>
        <v>63</v>
      </c>
      <c r="F29">
        <f>11.3*30</f>
        <v>339</v>
      </c>
      <c r="G29" s="38" t="s">
        <v>67</v>
      </c>
      <c r="H29" s="163"/>
      <c r="I29" s="5" t="s">
        <v>20</v>
      </c>
      <c r="K29" s="45" t="s">
        <v>68</v>
      </c>
      <c r="L29" s="30"/>
      <c r="M29" s="30"/>
      <c r="N29" s="78"/>
      <c r="O29" s="30"/>
      <c r="P29" s="30"/>
      <c r="Q29" s="30"/>
      <c r="R29" s="78"/>
      <c r="S29" s="30"/>
      <c r="T29" s="30"/>
      <c r="U29" s="30"/>
      <c r="V29" s="30"/>
      <c r="W29" s="30"/>
      <c r="X29" s="66"/>
      <c r="Y29" s="30"/>
      <c r="Z29" s="66"/>
      <c r="AA29" s="70"/>
    </row>
    <row r="30" spans="2:28" ht="24.75" x14ac:dyDescent="0.25">
      <c r="B30" s="8"/>
      <c r="C30" s="15" t="s">
        <v>69</v>
      </c>
      <c r="D30" s="19">
        <v>20571</v>
      </c>
      <c r="G30" s="138" t="s">
        <v>70</v>
      </c>
      <c r="H30" s="11"/>
      <c r="I30" s="5" t="s">
        <v>20</v>
      </c>
      <c r="J30" s="33"/>
      <c r="M30" s="53">
        <f>D40</f>
        <v>116627</v>
      </c>
      <c r="N30" s="53">
        <f>(1-D37)*M30</f>
        <v>84321.320999999996</v>
      </c>
      <c r="O30" s="53">
        <f>F41</f>
        <v>2710284.8000000003</v>
      </c>
      <c r="P30">
        <f>N30/O30</f>
        <v>3.1111609008765421E-2</v>
      </c>
      <c r="R30" s="53">
        <f>M30*D37</f>
        <v>32305.679000000004</v>
      </c>
      <c r="S30" s="2">
        <f>F44</f>
        <v>501948.54220665479</v>
      </c>
      <c r="T30">
        <f>R30/S30</f>
        <v>6.4360539544508905E-2</v>
      </c>
      <c r="V30">
        <f>T30-P30</f>
        <v>3.3248930535743487E-2</v>
      </c>
      <c r="X30" s="54">
        <f>V30*S30</f>
        <v>16689.252212346772</v>
      </c>
      <c r="Z30" s="54">
        <f>X30*F15</f>
        <v>5042.2824423653183</v>
      </c>
      <c r="AA30" s="59">
        <f>Z30*F38</f>
        <v>283628387.38304913</v>
      </c>
      <c r="AB30" s="27" t="s">
        <v>71</v>
      </c>
    </row>
    <row r="31" spans="2:28" ht="28.5" customHeight="1" x14ac:dyDescent="0.25">
      <c r="B31" s="8"/>
      <c r="C31" s="15" t="s">
        <v>72</v>
      </c>
      <c r="D31" s="16">
        <f>D30/365*1.023</f>
        <v>57.655158904109584</v>
      </c>
      <c r="G31" s="138"/>
      <c r="H31" s="11"/>
      <c r="I31" s="5" t="s">
        <v>20</v>
      </c>
      <c r="N31" s="53"/>
      <c r="R31" s="53"/>
      <c r="Z31" s="54"/>
      <c r="AA31" s="59"/>
    </row>
    <row r="32" spans="2:28" x14ac:dyDescent="0.25">
      <c r="B32" s="8"/>
      <c r="C32" s="15" t="s">
        <v>73</v>
      </c>
      <c r="D32">
        <v>365</v>
      </c>
      <c r="E32" s="161">
        <f>8*30</f>
        <v>240</v>
      </c>
      <c r="F32">
        <v>365</v>
      </c>
      <c r="G32" s="38" t="s">
        <v>74</v>
      </c>
      <c r="H32" s="11"/>
      <c r="I32" s="5" t="s">
        <v>20</v>
      </c>
      <c r="N32" s="53"/>
      <c r="R32" s="53"/>
      <c r="Z32" s="54"/>
      <c r="AA32" s="59"/>
    </row>
    <row r="33" spans="2:28" x14ac:dyDescent="0.25">
      <c r="B33" s="8"/>
      <c r="C33" s="15"/>
      <c r="H33" s="11"/>
      <c r="I33" s="5" t="s">
        <v>20</v>
      </c>
      <c r="N33" s="53"/>
      <c r="R33" s="53"/>
      <c r="AA33" s="59"/>
    </row>
    <row r="34" spans="2:28" x14ac:dyDescent="0.25">
      <c r="B34" s="8"/>
      <c r="H34" s="11"/>
      <c r="I34" s="5" t="s">
        <v>20</v>
      </c>
      <c r="K34" s="81" t="s">
        <v>75</v>
      </c>
      <c r="L34" s="82"/>
      <c r="M34" s="82"/>
      <c r="N34" s="85"/>
      <c r="O34" s="82"/>
      <c r="P34" s="82"/>
      <c r="Q34" s="82"/>
      <c r="R34" s="85"/>
      <c r="S34" s="82"/>
      <c r="T34" s="82"/>
      <c r="U34" s="82"/>
      <c r="V34" s="82"/>
      <c r="W34" s="82"/>
      <c r="X34" s="82"/>
      <c r="Y34" s="82"/>
      <c r="Z34" s="82"/>
      <c r="AA34" s="86"/>
    </row>
    <row r="35" spans="2:28" x14ac:dyDescent="0.25">
      <c r="B35" s="35" t="s">
        <v>65</v>
      </c>
      <c r="C35" s="29"/>
      <c r="D35" s="29"/>
      <c r="E35" s="29"/>
      <c r="F35" s="29"/>
      <c r="G35" s="29"/>
      <c r="H35" s="36"/>
      <c r="I35" s="5" t="s">
        <v>20</v>
      </c>
      <c r="L35" t="s">
        <v>76</v>
      </c>
      <c r="M35" s="53"/>
      <c r="N35" s="53"/>
      <c r="O35" s="53"/>
      <c r="R35" s="53"/>
      <c r="S35" s="53"/>
      <c r="X35" s="96">
        <f>S30-R30</f>
        <v>469642.86320665479</v>
      </c>
      <c r="Z35" s="54">
        <f>X35*F15</f>
        <v>141892.035257109</v>
      </c>
      <c r="AA35" s="59">
        <f>Z35*F49*F47</f>
        <v>159668269.43411961</v>
      </c>
      <c r="AB35" s="27" t="s">
        <v>71</v>
      </c>
    </row>
    <row r="36" spans="2:28" x14ac:dyDescent="0.25">
      <c r="B36" s="50" t="s">
        <v>68</v>
      </c>
      <c r="C36" s="149"/>
      <c r="D36" s="30"/>
      <c r="E36" s="30"/>
      <c r="F36" s="30"/>
      <c r="G36" s="30"/>
      <c r="H36" s="37"/>
      <c r="I36" s="5" t="s">
        <v>20</v>
      </c>
      <c r="N36" s="53"/>
      <c r="R36" s="53"/>
      <c r="Z36" s="54"/>
      <c r="AA36" s="59"/>
    </row>
    <row r="37" spans="2:28" x14ac:dyDescent="0.25">
      <c r="B37" s="8"/>
      <c r="C37" s="15" t="s">
        <v>77</v>
      </c>
      <c r="D37">
        <v>0.27700000000000002</v>
      </c>
      <c r="E37" s="157"/>
      <c r="F37" s="157"/>
      <c r="G37" s="138" t="s">
        <v>19</v>
      </c>
      <c r="H37" s="11"/>
      <c r="I37" s="5" t="s">
        <v>20</v>
      </c>
      <c r="N37" s="53"/>
      <c r="R37" s="53"/>
      <c r="Z37" s="54"/>
      <c r="AA37" s="59"/>
    </row>
    <row r="38" spans="2:28" ht="24.75" x14ac:dyDescent="0.25">
      <c r="B38" s="8"/>
      <c r="C38" s="15" t="s">
        <v>78</v>
      </c>
      <c r="D38" s="40">
        <v>46770</v>
      </c>
      <c r="E38">
        <v>25620</v>
      </c>
      <c r="F38">
        <v>56250</v>
      </c>
      <c r="G38" s="38" t="s">
        <v>79</v>
      </c>
      <c r="H38" s="11"/>
      <c r="I38" s="5" t="s">
        <v>20</v>
      </c>
      <c r="N38" s="53"/>
      <c r="R38" s="53"/>
      <c r="Z38" s="54"/>
      <c r="AA38" s="59"/>
    </row>
    <row r="39" spans="2:28" x14ac:dyDescent="0.25">
      <c r="B39" s="8"/>
      <c r="C39" s="15" t="s">
        <v>80</v>
      </c>
      <c r="D39">
        <v>3387856</v>
      </c>
      <c r="G39" s="38" t="s">
        <v>81</v>
      </c>
      <c r="H39" s="11"/>
      <c r="I39" s="5" t="s">
        <v>20</v>
      </c>
      <c r="L39" t="s">
        <v>82</v>
      </c>
      <c r="M39" s="53"/>
      <c r="N39" s="53"/>
      <c r="O39" s="53"/>
      <c r="R39" s="53"/>
      <c r="S39" s="53"/>
      <c r="X39" s="54">
        <f>S30-R30</f>
        <v>469642.86320665479</v>
      </c>
      <c r="Z39" s="54">
        <f>X39*F15</f>
        <v>141892.035257109</v>
      </c>
      <c r="AA39" s="59">
        <f>Z39*F52*F47</f>
        <v>798341347.17059815</v>
      </c>
      <c r="AB39" s="27" t="s">
        <v>71</v>
      </c>
    </row>
    <row r="40" spans="2:28" x14ac:dyDescent="0.25">
      <c r="B40" s="8"/>
      <c r="C40" s="15" t="s">
        <v>83</v>
      </c>
      <c r="D40" s="74">
        <v>116627</v>
      </c>
      <c r="G40" s="38" t="s">
        <v>81</v>
      </c>
      <c r="H40" s="11"/>
      <c r="I40" s="5" t="s">
        <v>20</v>
      </c>
      <c r="N40" s="53"/>
      <c r="R40" s="53"/>
      <c r="Z40" s="54"/>
      <c r="AA40" s="59"/>
    </row>
    <row r="41" spans="2:28" x14ac:dyDescent="0.25">
      <c r="B41" s="8"/>
      <c r="C41" s="15" t="s">
        <v>84</v>
      </c>
      <c r="D41" s="53">
        <f>D39*D10</f>
        <v>2618531.7701332271</v>
      </c>
      <c r="E41" s="53">
        <f>D39*E10</f>
        <v>2507013.44</v>
      </c>
      <c r="F41" s="53">
        <f>D39*F10</f>
        <v>2710284.8000000003</v>
      </c>
      <c r="G41" s="38"/>
      <c r="H41" s="11"/>
      <c r="I41" s="5" t="s">
        <v>20</v>
      </c>
      <c r="N41" s="53"/>
      <c r="R41" s="53"/>
      <c r="Z41" s="54"/>
      <c r="AA41" s="59"/>
    </row>
    <row r="42" spans="2:28" x14ac:dyDescent="0.25">
      <c r="B42" s="8"/>
      <c r="C42" s="15" t="s">
        <v>85</v>
      </c>
      <c r="D42" s="53">
        <f>D39-D41</f>
        <v>769324.22986677289</v>
      </c>
      <c r="E42" s="53">
        <f>D39-E41</f>
        <v>880842.56</v>
      </c>
      <c r="F42" s="53">
        <f>D39-F41</f>
        <v>677571.19999999972</v>
      </c>
      <c r="G42" s="38"/>
      <c r="H42" s="11"/>
      <c r="I42" s="5" t="s">
        <v>20</v>
      </c>
      <c r="N42" s="53"/>
      <c r="R42" s="53"/>
      <c r="AA42" s="59"/>
    </row>
    <row r="43" spans="2:28" x14ac:dyDescent="0.25">
      <c r="B43" s="8"/>
      <c r="C43" s="15" t="s">
        <v>86</v>
      </c>
      <c r="D43" s="13">
        <f>C13/C11</f>
        <v>0.74080560420315233</v>
      </c>
      <c r="G43" s="38"/>
      <c r="H43" s="11"/>
      <c r="I43" s="5" t="s">
        <v>20</v>
      </c>
      <c r="K43" s="46" t="s">
        <v>87</v>
      </c>
      <c r="L43" s="32"/>
      <c r="M43" s="32"/>
      <c r="N43" s="79"/>
      <c r="O43" s="32"/>
      <c r="P43" s="32"/>
      <c r="Q43" s="32"/>
      <c r="R43" s="79"/>
      <c r="S43" s="32"/>
      <c r="T43" s="32"/>
      <c r="U43" s="32"/>
      <c r="V43" s="32"/>
      <c r="W43" s="32"/>
      <c r="X43" s="32"/>
      <c r="Y43" s="32"/>
      <c r="Z43" s="32"/>
      <c r="AA43" s="71"/>
    </row>
    <row r="44" spans="2:28" x14ac:dyDescent="0.25">
      <c r="B44" s="8"/>
      <c r="C44" s="15" t="s">
        <v>275</v>
      </c>
      <c r="D44" s="53">
        <f>D43*D42</f>
        <v>569919.7009345796</v>
      </c>
      <c r="E44" s="53">
        <f>E42*D43</f>
        <v>652533.10486865148</v>
      </c>
      <c r="F44" s="53">
        <f>F42*D43</f>
        <v>501948.54220665479</v>
      </c>
      <c r="H44" s="11"/>
      <c r="I44" s="5" t="s">
        <v>20</v>
      </c>
      <c r="L44" t="s">
        <v>89</v>
      </c>
      <c r="M44">
        <v>15968</v>
      </c>
      <c r="N44" s="53">
        <f>M44-R44</f>
        <v>10305.746117856652</v>
      </c>
      <c r="O44" s="53">
        <f>F57</f>
        <v>3930972</v>
      </c>
      <c r="P44">
        <f>N44/O44</f>
        <v>2.6216788412272212E-3</v>
      </c>
      <c r="R44" s="53">
        <f>S44*D61</f>
        <v>5662.2538821433482</v>
      </c>
      <c r="S44" s="2">
        <f>F59</f>
        <v>968002.04</v>
      </c>
      <c r="T44">
        <f>R44/S44</f>
        <v>5.8494235013630217E-3</v>
      </c>
      <c r="V44">
        <f>T44-P44</f>
        <v>3.2277446601358005E-3</v>
      </c>
      <c r="X44" s="54">
        <f>ABS(V44*S44)</f>
        <v>3124.4634156105617</v>
      </c>
      <c r="Z44" s="54">
        <v>8632.7999999999993</v>
      </c>
      <c r="AA44" s="72">
        <f>Z44*F62</f>
        <v>485594999.99999994</v>
      </c>
    </row>
    <row r="45" spans="2:28" x14ac:dyDescent="0.25">
      <c r="B45" s="8"/>
      <c r="C45" s="15"/>
      <c r="D45" s="53"/>
      <c r="H45" s="11"/>
      <c r="I45" s="5" t="s">
        <v>20</v>
      </c>
      <c r="S45" s="2"/>
      <c r="Z45" s="54"/>
      <c r="AA45" s="72"/>
    </row>
    <row r="46" spans="2:28" x14ac:dyDescent="0.25">
      <c r="B46" s="83" t="s">
        <v>75</v>
      </c>
      <c r="C46" s="82"/>
      <c r="D46" s="82"/>
      <c r="E46" s="82"/>
      <c r="F46" s="82"/>
      <c r="G46" s="82"/>
      <c r="H46" s="84"/>
      <c r="I46" s="5" t="s">
        <v>20</v>
      </c>
      <c r="S46" s="2"/>
      <c r="Z46" s="54"/>
      <c r="AA46" s="72"/>
    </row>
    <row r="47" spans="2:28" x14ac:dyDescent="0.25">
      <c r="B47" s="8"/>
      <c r="C47" s="15" t="s">
        <v>90</v>
      </c>
      <c r="D47">
        <v>22.49</v>
      </c>
      <c r="E47">
        <v>12.32</v>
      </c>
      <c r="F47">
        <v>27.05</v>
      </c>
      <c r="G47" s="38" t="s">
        <v>91</v>
      </c>
      <c r="H47" s="11"/>
      <c r="I47" s="5" t="s">
        <v>20</v>
      </c>
      <c r="AA47" s="59"/>
    </row>
    <row r="48" spans="2:28" ht="24.75" x14ac:dyDescent="0.25">
      <c r="B48" s="60" t="s">
        <v>92</v>
      </c>
      <c r="C48" s="15" t="s">
        <v>93</v>
      </c>
      <c r="D48">
        <v>0.6</v>
      </c>
      <c r="E48">
        <f>D48-0.2</f>
        <v>0.39999999999999997</v>
      </c>
      <c r="F48">
        <f>D48+0.2</f>
        <v>0.8</v>
      </c>
      <c r="G48" s="38" t="s">
        <v>94</v>
      </c>
      <c r="H48" s="11"/>
      <c r="I48" s="5" t="s">
        <v>20</v>
      </c>
      <c r="L48" t="s">
        <v>95</v>
      </c>
      <c r="M48" s="193" t="s">
        <v>96</v>
      </c>
      <c r="N48" s="193"/>
      <c r="O48" s="193"/>
      <c r="P48" s="193"/>
      <c r="Q48" s="193"/>
      <c r="R48" s="193"/>
      <c r="S48" s="193"/>
      <c r="T48" s="193"/>
      <c r="U48" s="193"/>
      <c r="V48" s="193"/>
      <c r="W48" s="193"/>
      <c r="X48" s="193"/>
      <c r="Y48" s="193"/>
      <c r="Z48" s="193"/>
      <c r="AA48" s="193"/>
    </row>
    <row r="49" spans="2:27" ht="24.75" x14ac:dyDescent="0.25">
      <c r="B49" s="8"/>
      <c r="C49" s="15" t="s">
        <v>97</v>
      </c>
      <c r="D49">
        <f>D48*52</f>
        <v>31.2</v>
      </c>
      <c r="E49">
        <f t="shared" ref="E49:F49" si="0">E48*52</f>
        <v>20.799999999999997</v>
      </c>
      <c r="F49">
        <f t="shared" si="0"/>
        <v>41.6</v>
      </c>
      <c r="G49" s="38"/>
      <c r="H49" s="11"/>
      <c r="I49" s="5" t="s">
        <v>20</v>
      </c>
      <c r="AA49" s="59"/>
    </row>
    <row r="50" spans="2:27" x14ac:dyDescent="0.25">
      <c r="B50" s="60" t="s">
        <v>98</v>
      </c>
      <c r="H50" s="11"/>
      <c r="I50" s="5" t="s">
        <v>20</v>
      </c>
      <c r="K50" s="47" t="s">
        <v>99</v>
      </c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73"/>
    </row>
    <row r="51" spans="2:27" ht="26.1" customHeight="1" x14ac:dyDescent="0.25">
      <c r="B51" s="61"/>
      <c r="C51" s="15" t="s">
        <v>100</v>
      </c>
      <c r="D51">
        <v>3.5</v>
      </c>
      <c r="E51">
        <f>D51-0.5</f>
        <v>3</v>
      </c>
      <c r="F51">
        <f>D51+0.5</f>
        <v>4</v>
      </c>
      <c r="G51" s="38" t="s">
        <v>94</v>
      </c>
      <c r="H51" s="11"/>
      <c r="I51" s="5" t="s">
        <v>20</v>
      </c>
      <c r="L51" t="s">
        <v>101</v>
      </c>
      <c r="X51">
        <f>D77</f>
        <v>131895</v>
      </c>
      <c r="Z51" s="54">
        <f>X51*F15</f>
        <v>39849.109730858152</v>
      </c>
      <c r="AA51" s="59">
        <f>Z51*F73*F76</f>
        <v>874407420.85983133</v>
      </c>
    </row>
    <row r="52" spans="2:27" x14ac:dyDescent="0.25">
      <c r="B52" s="8"/>
      <c r="C52" s="15" t="s">
        <v>102</v>
      </c>
      <c r="D52" s="2">
        <f>D51*52</f>
        <v>182</v>
      </c>
      <c r="E52" s="2">
        <f t="shared" ref="E52:F52" si="1">E51*52</f>
        <v>156</v>
      </c>
      <c r="F52" s="2">
        <f t="shared" si="1"/>
        <v>208</v>
      </c>
      <c r="G52" s="38"/>
      <c r="H52" s="11"/>
      <c r="I52" s="5" t="s">
        <v>20</v>
      </c>
      <c r="Z52" s="54"/>
      <c r="AA52" s="59"/>
    </row>
    <row r="53" spans="2:27" x14ac:dyDescent="0.25">
      <c r="B53" s="8"/>
      <c r="H53" s="11"/>
      <c r="I53" s="5" t="s">
        <v>20</v>
      </c>
      <c r="Z53" s="54"/>
      <c r="AA53" s="59"/>
    </row>
    <row r="54" spans="2:27" x14ac:dyDescent="0.25">
      <c r="B54" s="51" t="s">
        <v>87</v>
      </c>
      <c r="C54" s="32"/>
      <c r="D54" s="32"/>
      <c r="E54" s="32"/>
      <c r="F54" s="32"/>
      <c r="G54" s="32"/>
      <c r="H54" s="41"/>
      <c r="I54" s="5" t="s">
        <v>20</v>
      </c>
      <c r="Z54" s="54"/>
      <c r="AA54" s="59"/>
    </row>
    <row r="55" spans="2:27" x14ac:dyDescent="0.25">
      <c r="B55" s="8"/>
      <c r="C55" s="150" t="s">
        <v>103</v>
      </c>
      <c r="D55">
        <v>17552</v>
      </c>
      <c r="E55">
        <v>11764</v>
      </c>
      <c r="F55">
        <v>32092</v>
      </c>
      <c r="G55" s="38" t="s">
        <v>104</v>
      </c>
      <c r="H55" s="11"/>
      <c r="I55" s="5" t="s">
        <v>20</v>
      </c>
      <c r="L55" t="s">
        <v>105</v>
      </c>
      <c r="X55">
        <f>D77</f>
        <v>131895</v>
      </c>
      <c r="Z55" s="54">
        <f>X55*F15</f>
        <v>39849.109730858152</v>
      </c>
      <c r="AA55" s="59">
        <f>Z55*F79</f>
        <v>7645003.8829334602</v>
      </c>
    </row>
    <row r="56" spans="2:27" ht="36.75" x14ac:dyDescent="0.25">
      <c r="B56" s="8"/>
      <c r="C56" s="15" t="s">
        <v>106</v>
      </c>
      <c r="D56">
        <f>C5-115285</f>
        <v>4913715</v>
      </c>
      <c r="G56" s="38" t="s">
        <v>107</v>
      </c>
      <c r="H56" s="11"/>
      <c r="I56" s="5" t="s">
        <v>20</v>
      </c>
      <c r="Z56" s="54"/>
      <c r="AA56" s="59"/>
    </row>
    <row r="57" spans="2:27" x14ac:dyDescent="0.25">
      <c r="B57" s="8"/>
      <c r="C57" s="15" t="s">
        <v>108</v>
      </c>
      <c r="D57" s="53">
        <f>D56*D10</f>
        <v>3797894.2543249154</v>
      </c>
      <c r="E57">
        <f>D56*E10</f>
        <v>3636149.1</v>
      </c>
      <c r="F57">
        <f>D56*F10</f>
        <v>3930972</v>
      </c>
      <c r="G57" s="38"/>
      <c r="H57" s="11"/>
      <c r="I57" s="5" t="s">
        <v>20</v>
      </c>
      <c r="Z57" s="54"/>
      <c r="AA57" s="59"/>
    </row>
    <row r="58" spans="2:27" x14ac:dyDescent="0.25">
      <c r="B58" s="8"/>
      <c r="C58" s="15" t="s">
        <v>109</v>
      </c>
      <c r="D58" s="53">
        <f>D56*0.23</f>
        <v>1130154.45</v>
      </c>
      <c r="E58" s="53">
        <f>D56*E11</f>
        <v>987656.71500000008</v>
      </c>
      <c r="F58" s="53">
        <f>D56*F11</f>
        <v>1257911.04</v>
      </c>
      <c r="G58" s="38"/>
      <c r="H58" s="11"/>
      <c r="I58" s="5" t="s">
        <v>20</v>
      </c>
      <c r="AA58" s="59"/>
    </row>
    <row r="59" spans="2:27" ht="26.25" customHeight="1" x14ac:dyDescent="0.25">
      <c r="B59" s="8"/>
      <c r="C59" s="15" t="s">
        <v>110</v>
      </c>
      <c r="D59" s="53">
        <f>D58-289909</f>
        <v>840245.45</v>
      </c>
      <c r="E59" s="53">
        <f>E58-289909</f>
        <v>697747.71500000008</v>
      </c>
      <c r="F59" s="53">
        <f>F58-289909</f>
        <v>968002.04</v>
      </c>
      <c r="G59" s="38"/>
      <c r="H59" s="11"/>
      <c r="I59" s="5" t="s">
        <v>20</v>
      </c>
      <c r="J59" s="23" t="s">
        <v>111</v>
      </c>
      <c r="K59" s="28"/>
      <c r="L59" s="28"/>
      <c r="M59" s="28"/>
      <c r="N59" s="77"/>
      <c r="O59" s="28"/>
      <c r="P59" s="28"/>
      <c r="Q59" s="28"/>
      <c r="R59" s="77"/>
      <c r="S59" s="28"/>
      <c r="T59" s="28"/>
      <c r="U59" s="28"/>
      <c r="V59" s="28"/>
      <c r="W59" s="28"/>
      <c r="X59" s="65"/>
      <c r="Y59" s="28"/>
      <c r="Z59" s="65"/>
      <c r="AA59" s="69"/>
    </row>
    <row r="60" spans="2:27" ht="18.600000000000001" customHeight="1" x14ac:dyDescent="0.25">
      <c r="B60" s="8"/>
      <c r="C60" s="15" t="s">
        <v>112</v>
      </c>
      <c r="D60" s="151">
        <f>15968/D56</f>
        <v>3.2496797229794564E-3</v>
      </c>
      <c r="G60" s="38" t="s">
        <v>113</v>
      </c>
      <c r="H60" s="11"/>
      <c r="I60" s="5" t="s">
        <v>20</v>
      </c>
      <c r="J60" s="109"/>
      <c r="K60" s="111" t="s">
        <v>114</v>
      </c>
      <c r="L60" s="112"/>
      <c r="M60" s="112"/>
      <c r="N60" s="113"/>
      <c r="O60" s="112"/>
      <c r="P60" s="112"/>
      <c r="Q60" s="112"/>
      <c r="R60" s="113"/>
      <c r="S60" s="112"/>
      <c r="T60" s="112"/>
      <c r="U60" s="112"/>
      <c r="V60" s="112"/>
      <c r="W60" s="112"/>
      <c r="X60" s="114"/>
      <c r="Y60" s="112"/>
      <c r="Z60" s="114"/>
      <c r="AA60" s="115"/>
    </row>
    <row r="61" spans="2:27" x14ac:dyDescent="0.25">
      <c r="B61" s="8"/>
      <c r="C61" s="150" t="s">
        <v>115</v>
      </c>
      <c r="D61" s="56">
        <f>D60*1.8</f>
        <v>5.8494235013630217E-3</v>
      </c>
      <c r="G61" s="38" t="s">
        <v>116</v>
      </c>
      <c r="H61" s="11"/>
      <c r="I61" s="5" t="s">
        <v>20</v>
      </c>
      <c r="L61" t="s">
        <v>117</v>
      </c>
      <c r="X61">
        <f>C13*F85</f>
        <v>228420.00000000003</v>
      </c>
      <c r="Z61" s="54">
        <f>X61*F15</f>
        <v>69011.968950472874</v>
      </c>
      <c r="AA61" s="59">
        <f>Z61*D84</f>
        <v>87344998.502166003</v>
      </c>
    </row>
    <row r="62" spans="2:27" ht="24.75" x14ac:dyDescent="0.25">
      <c r="B62" s="8"/>
      <c r="C62" s="15" t="s">
        <v>78</v>
      </c>
      <c r="D62" s="40">
        <v>46770</v>
      </c>
      <c r="E62">
        <v>25620</v>
      </c>
      <c r="F62">
        <v>56250</v>
      </c>
      <c r="G62" s="38" t="s">
        <v>79</v>
      </c>
      <c r="H62" s="11"/>
      <c r="I62" s="5" t="s">
        <v>20</v>
      </c>
      <c r="Z62" s="54"/>
      <c r="AA62" s="59"/>
    </row>
    <row r="63" spans="2:27" ht="24.75" x14ac:dyDescent="0.25">
      <c r="B63" s="8"/>
      <c r="C63" s="15" t="s">
        <v>118</v>
      </c>
      <c r="D63" s="104">
        <f>X44*D15</f>
        <v>837.35619538363062</v>
      </c>
      <c r="G63" s="38"/>
      <c r="H63" s="11"/>
      <c r="I63" s="5" t="s">
        <v>20</v>
      </c>
      <c r="Z63" s="54"/>
      <c r="AA63" s="59"/>
    </row>
    <row r="64" spans="2:27" ht="24.75" x14ac:dyDescent="0.25">
      <c r="B64" s="8"/>
      <c r="C64" s="15" t="s">
        <v>119</v>
      </c>
      <c r="D64" s="104">
        <f>X44*E15</f>
        <v>741.17681753366026</v>
      </c>
      <c r="G64" s="38"/>
      <c r="H64" s="11"/>
      <c r="I64" s="5" t="s">
        <v>20</v>
      </c>
      <c r="Z64" s="54"/>
      <c r="AA64" s="59"/>
    </row>
    <row r="65" spans="2:27" ht="24.75" x14ac:dyDescent="0.25">
      <c r="B65" s="8"/>
      <c r="C65" s="15" t="s">
        <v>120</v>
      </c>
      <c r="D65" s="104">
        <f>X44*F15</f>
        <v>943.98639447073151</v>
      </c>
      <c r="G65" s="38"/>
      <c r="H65" s="11"/>
      <c r="I65" s="5" t="s">
        <v>20</v>
      </c>
      <c r="L65" t="s">
        <v>121</v>
      </c>
      <c r="X65">
        <f>F88*C13</f>
        <v>577818</v>
      </c>
      <c r="Z65" s="54">
        <f>X65*F15</f>
        <v>174574.72145619619</v>
      </c>
      <c r="AA65" s="59">
        <f>Z65*F87</f>
        <v>463996042.0431729</v>
      </c>
    </row>
    <row r="66" spans="2:27" ht="36.75" x14ac:dyDescent="0.25">
      <c r="B66" s="8"/>
      <c r="C66" s="15" t="s">
        <v>122</v>
      </c>
      <c r="D66" s="104"/>
      <c r="G66" t="s">
        <v>123</v>
      </c>
      <c r="H66" s="11"/>
      <c r="I66" s="5" t="s">
        <v>20</v>
      </c>
      <c r="Z66" s="54"/>
      <c r="AA66" s="59"/>
    </row>
    <row r="67" spans="2:27" x14ac:dyDescent="0.25">
      <c r="B67" s="8"/>
      <c r="C67" s="15"/>
      <c r="G67" s="38"/>
      <c r="H67" s="11"/>
      <c r="I67" s="5" t="s">
        <v>20</v>
      </c>
      <c r="Z67" s="54"/>
      <c r="AA67" s="59"/>
    </row>
    <row r="68" spans="2:27" x14ac:dyDescent="0.25">
      <c r="B68" s="52" t="s">
        <v>99</v>
      </c>
      <c r="C68" s="34"/>
      <c r="D68" s="34"/>
      <c r="E68" s="34"/>
      <c r="F68" s="34"/>
      <c r="G68" s="34"/>
      <c r="H68" s="42"/>
      <c r="I68" s="5" t="s">
        <v>20</v>
      </c>
      <c r="AA68" s="59"/>
    </row>
    <row r="69" spans="2:27" x14ac:dyDescent="0.25">
      <c r="B69" s="60" t="s">
        <v>124</v>
      </c>
      <c r="C69" s="150" t="s">
        <v>125</v>
      </c>
      <c r="D69">
        <f>31.8-24.4</f>
        <v>7.4000000000000021</v>
      </c>
      <c r="E69">
        <f>29-24.4</f>
        <v>4.6000000000000014</v>
      </c>
      <c r="F69">
        <f>40-24.4</f>
        <v>15.600000000000001</v>
      </c>
      <c r="G69" s="38" t="s">
        <v>126</v>
      </c>
      <c r="H69" s="163"/>
      <c r="I69" s="5" t="s">
        <v>20</v>
      </c>
      <c r="Z69" s="31" t="s">
        <v>127</v>
      </c>
      <c r="AA69" s="59">
        <f>SUM(AA8:AA65)</f>
        <v>3401069949.8122001</v>
      </c>
    </row>
    <row r="70" spans="2:27" x14ac:dyDescent="0.25">
      <c r="B70" s="8"/>
      <c r="C70" s="150" t="s">
        <v>128</v>
      </c>
      <c r="D70">
        <v>0.45</v>
      </c>
      <c r="G70" s="38" t="s">
        <v>129</v>
      </c>
      <c r="H70" s="11"/>
      <c r="I70" s="97" t="s">
        <v>130</v>
      </c>
    </row>
    <row r="71" spans="2:27" x14ac:dyDescent="0.25">
      <c r="B71" s="8"/>
      <c r="C71" s="150" t="s">
        <v>90</v>
      </c>
      <c r="D71">
        <v>22.49</v>
      </c>
      <c r="E71">
        <v>12.32</v>
      </c>
      <c r="F71">
        <v>27.05</v>
      </c>
      <c r="G71" s="38" t="s">
        <v>91</v>
      </c>
      <c r="H71" s="11"/>
      <c r="I71" s="5" t="s">
        <v>20</v>
      </c>
    </row>
    <row r="72" spans="2:27" ht="24.75" x14ac:dyDescent="0.25">
      <c r="B72" s="8"/>
      <c r="C72" s="15" t="s">
        <v>131</v>
      </c>
      <c r="D72">
        <f>31.8-24.4</f>
        <v>7.4000000000000021</v>
      </c>
      <c r="E72">
        <f>29-24.4</f>
        <v>4.6000000000000014</v>
      </c>
      <c r="F72">
        <f>40-24.4</f>
        <v>15.600000000000001</v>
      </c>
      <c r="G72" s="38" t="s">
        <v>126</v>
      </c>
      <c r="H72" s="163"/>
      <c r="I72" s="5" t="s">
        <v>20</v>
      </c>
    </row>
    <row r="73" spans="2:27" x14ac:dyDescent="0.25">
      <c r="B73" s="8"/>
      <c r="C73" s="15" t="s">
        <v>132</v>
      </c>
      <c r="D73">
        <f>D72*52</f>
        <v>384.80000000000013</v>
      </c>
      <c r="E73">
        <f t="shared" ref="E73:F73" si="2">E72*52</f>
        <v>239.20000000000007</v>
      </c>
      <c r="F73">
        <f t="shared" si="2"/>
        <v>811.2</v>
      </c>
      <c r="G73" s="38"/>
      <c r="H73" s="11"/>
      <c r="I73" s="5" t="s">
        <v>20</v>
      </c>
    </row>
    <row r="74" spans="2:27" ht="24.75" x14ac:dyDescent="0.25">
      <c r="B74" s="8"/>
      <c r="C74" s="15" t="s">
        <v>133</v>
      </c>
      <c r="D74">
        <v>0.45</v>
      </c>
      <c r="G74" s="38" t="s">
        <v>129</v>
      </c>
      <c r="H74" s="11"/>
      <c r="I74" s="97" t="s">
        <v>130</v>
      </c>
    </row>
    <row r="75" spans="2:27" x14ac:dyDescent="0.25">
      <c r="B75" s="8"/>
      <c r="C75" s="15" t="s">
        <v>134</v>
      </c>
      <c r="D75">
        <v>850000</v>
      </c>
      <c r="G75" s="38" t="s">
        <v>135</v>
      </c>
      <c r="H75" s="11"/>
      <c r="I75" s="5" t="s">
        <v>20</v>
      </c>
    </row>
    <row r="76" spans="2:27" x14ac:dyDescent="0.25">
      <c r="B76" s="8"/>
      <c r="C76" s="15" t="s">
        <v>90</v>
      </c>
      <c r="D76">
        <v>22.49</v>
      </c>
      <c r="E76">
        <v>12.32</v>
      </c>
      <c r="F76">
        <v>27.05</v>
      </c>
      <c r="G76" s="38" t="s">
        <v>91</v>
      </c>
      <c r="H76" s="11"/>
      <c r="I76" s="5" t="s">
        <v>20</v>
      </c>
    </row>
    <row r="77" spans="2:27" x14ac:dyDescent="0.25">
      <c r="B77" s="8"/>
      <c r="C77" s="15" t="s">
        <v>136</v>
      </c>
      <c r="D77">
        <v>131895</v>
      </c>
      <c r="H77" s="11"/>
      <c r="I77" s="5" t="s">
        <v>20</v>
      </c>
    </row>
    <row r="78" spans="2:27" x14ac:dyDescent="0.25">
      <c r="B78" s="8"/>
      <c r="H78" s="11"/>
      <c r="I78" s="5" t="s">
        <v>20</v>
      </c>
    </row>
    <row r="79" spans="2:27" x14ac:dyDescent="0.25">
      <c r="B79" s="106" t="s">
        <v>137</v>
      </c>
      <c r="C79" s="150" t="s">
        <v>138</v>
      </c>
      <c r="D79" s="40">
        <f>D80*1.69*12</f>
        <v>358.95600000000002</v>
      </c>
      <c r="E79" s="40">
        <f t="shared" ref="E79:F79" si="3">E80*1.69*12</f>
        <v>167.10719999999998</v>
      </c>
      <c r="F79" s="40">
        <f t="shared" si="3"/>
        <v>191.84880000000001</v>
      </c>
      <c r="H79" s="11"/>
      <c r="I79" s="5" t="s">
        <v>20</v>
      </c>
    </row>
    <row r="80" spans="2:27" x14ac:dyDescent="0.25">
      <c r="B80" s="8"/>
      <c r="C80" s="152" t="s">
        <v>139</v>
      </c>
      <c r="D80">
        <f>SUM(E80+F80)</f>
        <v>17.700000000000003</v>
      </c>
      <c r="E80">
        <v>8.24</v>
      </c>
      <c r="F80">
        <v>9.4600000000000009</v>
      </c>
      <c r="G80" s="38" t="s">
        <v>140</v>
      </c>
      <c r="H80" s="11"/>
      <c r="I80" s="5" t="s">
        <v>20</v>
      </c>
      <c r="J80" s="80"/>
    </row>
    <row r="81" spans="2:12" x14ac:dyDescent="0.25">
      <c r="B81" s="8"/>
      <c r="C81" s="152"/>
      <c r="G81" s="38"/>
      <c r="H81" s="11"/>
    </row>
    <row r="82" spans="2:12" ht="28.5" customHeight="1" x14ac:dyDescent="0.25">
      <c r="B82" s="108" t="s">
        <v>141</v>
      </c>
      <c r="C82" s="153"/>
      <c r="D82" s="154"/>
      <c r="E82" s="154"/>
      <c r="F82" s="154"/>
      <c r="G82" s="139"/>
      <c r="H82" s="107"/>
    </row>
    <row r="83" spans="2:12" x14ac:dyDescent="0.25">
      <c r="B83" s="116" t="s">
        <v>142</v>
      </c>
      <c r="C83" s="117"/>
      <c r="D83" s="117"/>
      <c r="E83" s="117"/>
      <c r="F83" s="117"/>
      <c r="G83" s="117"/>
      <c r="H83" s="118"/>
      <c r="I83" s="5" t="s">
        <v>20</v>
      </c>
    </row>
    <row r="84" spans="2:12" ht="30" x14ac:dyDescent="0.25">
      <c r="B84" s="8"/>
      <c r="C84" s="6" t="s">
        <v>143</v>
      </c>
      <c r="D84" s="40">
        <v>1265.6500000000001</v>
      </c>
      <c r="H84" s="11"/>
      <c r="I84" s="5" t="s">
        <v>20</v>
      </c>
    </row>
    <row r="85" spans="2:12" x14ac:dyDescent="0.25">
      <c r="B85" s="8"/>
      <c r="C85" t="s">
        <v>144</v>
      </c>
      <c r="D85">
        <v>0.20699999999999999</v>
      </c>
      <c r="E85">
        <v>0.155</v>
      </c>
      <c r="F85">
        <v>0.27</v>
      </c>
      <c r="G85" s="38" t="s">
        <v>145</v>
      </c>
      <c r="H85" s="39"/>
      <c r="I85" s="5" t="s">
        <v>20</v>
      </c>
    </row>
    <row r="86" spans="2:12" x14ac:dyDescent="0.25">
      <c r="B86" s="8"/>
      <c r="G86" s="38"/>
      <c r="H86" s="39"/>
      <c r="I86" s="5" t="s">
        <v>20</v>
      </c>
    </row>
    <row r="87" spans="2:12" ht="30" x14ac:dyDescent="0.25">
      <c r="B87" s="8"/>
      <c r="C87" s="6" t="s">
        <v>146</v>
      </c>
      <c r="D87" s="22">
        <f>D84*1.7</f>
        <v>2151.605</v>
      </c>
      <c r="E87" s="22">
        <f>D84*1.1</f>
        <v>1392.2150000000001</v>
      </c>
      <c r="F87" s="22">
        <f>D84*2.1</f>
        <v>2657.8650000000002</v>
      </c>
      <c r="G87" s="38" t="s">
        <v>147</v>
      </c>
      <c r="H87" s="39"/>
      <c r="I87" s="97" t="s">
        <v>148</v>
      </c>
    </row>
    <row r="88" spans="2:12" ht="15.75" thickBot="1" x14ac:dyDescent="0.3">
      <c r="B88" s="20"/>
      <c r="C88" s="21" t="s">
        <v>149</v>
      </c>
      <c r="D88" s="21">
        <v>0.61299999999999999</v>
      </c>
      <c r="E88" s="21">
        <v>0.53700000000000003</v>
      </c>
      <c r="F88" s="21">
        <v>0.68300000000000005</v>
      </c>
      <c r="G88" s="140" t="s">
        <v>150</v>
      </c>
      <c r="H88" s="58"/>
      <c r="I88" s="5" t="s">
        <v>20</v>
      </c>
      <c r="K88" s="15"/>
      <c r="L88" s="13"/>
    </row>
    <row r="89" spans="2:12" x14ac:dyDescent="0.25">
      <c r="I89" s="5" t="s">
        <v>20</v>
      </c>
    </row>
    <row r="90" spans="2:12" x14ac:dyDescent="0.25">
      <c r="C90" t="s">
        <v>151</v>
      </c>
    </row>
  </sheetData>
  <mergeCells count="4">
    <mergeCell ref="B2:G3"/>
    <mergeCell ref="F18:G18"/>
    <mergeCell ref="J2:AB3"/>
    <mergeCell ref="M48:AA48"/>
  </mergeCells>
  <hyperlinks>
    <hyperlink ref="G21" r:id="rId1" xr:uid="{C796405E-419D-44B0-9A17-1AE972CE3B25}"/>
    <hyperlink ref="G24" r:id="rId2" xr:uid="{716AEBF1-B355-4BEE-82A5-F1A9811C4056}"/>
    <hyperlink ref="G20" r:id="rId3" xr:uid="{7BE5D667-D298-4B76-ACE6-F2B06A012317}"/>
    <hyperlink ref="G6" r:id="rId4" location="/ " xr:uid="{0A12D913-E84C-4F57-8A82-E6397EF5AFF6}"/>
    <hyperlink ref="G7" r:id="rId5" location="/ " xr:uid="{1A0468E5-C55C-4569-8AEF-88D6E504AFD2}"/>
    <hyperlink ref="AB8" r:id="rId6" display="https://nicic.gov/state-statistics/2019/indiana-2019" xr:uid="{CEF79730-AC65-4ACB-89C4-1151B0334CED}"/>
    <hyperlink ref="AB17" r:id="rId7" xr:uid="{8BA29FDF-F6F4-4134-B48E-B53CD2493D24}"/>
    <hyperlink ref="AB22" r:id="rId8" xr:uid="{520CD096-86EF-4E02-9A76-7E18E3AF0BAB}"/>
    <hyperlink ref="G38" r:id="rId9" xr:uid="{7CF914E0-C2FD-413B-98AD-872859F4B2C8}"/>
    <hyperlink ref="G19" r:id="rId10" xr:uid="{F906E7AF-8D6A-4D2A-A0F9-F941E2D9F862}"/>
    <hyperlink ref="G23" r:id="rId11" xr:uid="{F0DD0C9E-8B0C-46ED-A755-1A2E5AC72D7B}"/>
    <hyperlink ref="G10" r:id="rId12" location="/ " xr:uid="{164C528A-0E1D-4BDC-98F5-2D8612C44E67}"/>
    <hyperlink ref="G11" r:id="rId13" location="/ " xr:uid="{565CF8AE-5B97-4B0E-B611-156110B25B54}"/>
    <hyperlink ref="G55" r:id="rId14" xr:uid="{23C885EA-9F5B-4BB2-8BB9-F23C17848208}"/>
    <hyperlink ref="G71" r:id="rId15" display="https://www.bls.gov/oes/2019/may/oes_in.htm" xr:uid="{E6986CD0-6C3A-4725-AF35-E3396C4920CD}"/>
    <hyperlink ref="G70" r:id="rId16" display="https://www.caregiving.org/wp-content/uploads/2020/05/NAC_Mental_Illness_Study_2016_FINAL_WEB.pdf " xr:uid="{278EABD5-436A-4FC9-BE64-4E650BCDA2CF}"/>
    <hyperlink ref="G30" r:id="rId17" xr:uid="{417B5D8D-08B5-4A15-BB76-D992AE3B155D}"/>
    <hyperlink ref="G47" r:id="rId18" display="https://www.bls.gov/oes/2019/may/oes_in.htm" xr:uid="{0EE5A7D3-B7EF-492D-B80D-9774A887DECE}"/>
    <hyperlink ref="G48" r:id="rId19" display="https://pubmed.ncbi.nlm.nih.gov/12813119/" xr:uid="{FC937CF6-973F-4761-BBE3-3ACF020A6457}"/>
    <hyperlink ref="G51" r:id="rId20" xr:uid="{08D8DD89-A244-4B63-827B-765976EE5EB6}"/>
    <hyperlink ref="G39" r:id="rId21" xr:uid="{2174FDC0-683C-4961-A907-4F7C7FD29318}"/>
    <hyperlink ref="G62" r:id="rId22" xr:uid="{759B9B9E-883D-449B-B16D-E0C6174663D6}"/>
    <hyperlink ref="G60" r:id="rId23" xr:uid="{9CF9A813-5317-4B6F-9723-D0F3B87A8007}"/>
    <hyperlink ref="AB30" r:id="rId24" xr:uid="{4D700F44-BFDE-468D-B05D-2691EEC27ABD}"/>
    <hyperlink ref="AB35" r:id="rId25" xr:uid="{72820AC8-B2C1-4442-8E39-4A295B7B1C67}"/>
    <hyperlink ref="AB39" r:id="rId26" xr:uid="{B91BA0FD-23F6-469D-A464-A84C6F9557E9}"/>
    <hyperlink ref="G76" r:id="rId27" display="https://www.bls.gov/oes/2019/may/oes_in.htm" xr:uid="{00DC03E5-D676-42F4-B13C-1C46BD2E1D94}"/>
    <hyperlink ref="G75" r:id="rId28" xr:uid="{02D39A4A-007B-4ABC-B984-256980255440}"/>
    <hyperlink ref="G37" r:id="rId29" location="/ " xr:uid="{A355A646-9BBE-44F7-8DD9-6F0F47704108}"/>
    <hyperlink ref="G61" r:id="rId30" xr:uid="{B8CD1A95-873C-4CFE-9330-3981EEACC31E}"/>
    <hyperlink ref="G80" r:id="rId31" xr:uid="{001312FD-5805-4E7F-BD8D-0EF6CA40AEC6}"/>
    <hyperlink ref="G88" r:id="rId32" location="/survey/NSDUH-2018-2019-RD02YR?column=AMIYR_U&amp;control=STATE&amp;filter=STATE%3D18&amp;results_received=true&amp;row=PRVHLTIN&amp;run_chisq=false&amp;weight=DASWT_1 " xr:uid="{8E446CCD-4D5D-4B16-948B-1A1EEC85330C}"/>
    <hyperlink ref="G85" r:id="rId33" location="/survey/NSDUH-2018-2019-RD02YR?column=AMIYR_U&amp;control=STATE&amp;filter=STATE%3D18&amp;results_received=true&amp;row=CAIDCHIP&amp;run_chisq=false&amp;weight=DASWT_1 " xr:uid="{B3FB04FB-046B-49EA-AA9B-D3CFD3DD0150}"/>
    <hyperlink ref="G69" r:id="rId34" xr:uid="{32CA283C-A2BA-40A7-8152-2CD43E04CF87}"/>
    <hyperlink ref="G72" r:id="rId35" xr:uid="{77F3D322-F45A-4643-A027-44D130CC5012}"/>
    <hyperlink ref="G74" r:id="rId36" display="https://www.caregiving.org/wp-content/uploads/2020/05/NAC_Mental_Illness_Study_2016_FINAL_WEB.pdf " xr:uid="{7A938CF3-1D91-42D5-80A4-55CB341B0BED}"/>
    <hyperlink ref="G28" r:id="rId37" xr:uid="{4FCFBB21-6C17-49AE-A5E8-73F2B6256510}"/>
    <hyperlink ref="G56" r:id="rId38" xr:uid="{07A64368-82CC-45A7-A070-EDF2D78D4639}"/>
    <hyperlink ref="G25" r:id="rId39" display="https://bjs.ojp.gov/content/pub/pdf/tssp18.pdf" xr:uid="{8C0C7CF3-F363-4773-9C34-1EF6AD980592}"/>
    <hyperlink ref="G32" r:id="rId40" location=":~:text=Chronic%20homelessness%20is%20used%20to,use%20disorder%2C%20or%20physical%20disability. " xr:uid="{7A0DCB16-7773-4584-B581-9DCF64447F42}"/>
    <hyperlink ref="G29" r:id="rId41" xr:uid="{0EA36B0E-AB10-465B-BF92-B6709DAFADA6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C6406-A8E2-44DB-9309-382E129642E8}">
  <dimension ref="B1:AB97"/>
  <sheetViews>
    <sheetView topLeftCell="H31" zoomScale="50" zoomScaleNormal="50" workbookViewId="0">
      <selection activeCell="H31" sqref="H1:H1048576"/>
    </sheetView>
  </sheetViews>
  <sheetFormatPr defaultRowHeight="15" x14ac:dyDescent="0.25"/>
  <cols>
    <col min="2" max="2" width="25.140625" customWidth="1"/>
    <col min="3" max="3" width="40.85546875" customWidth="1"/>
    <col min="4" max="4" width="18.85546875" customWidth="1"/>
    <col min="5" max="6" width="12.42578125" bestFit="1" customWidth="1"/>
    <col min="7" max="7" width="51.140625" customWidth="1"/>
    <col min="8" max="8" width="18.5703125" customWidth="1"/>
    <col min="10" max="10" width="22.42578125" customWidth="1"/>
    <col min="11" max="11" width="32.5703125" bestFit="1" customWidth="1"/>
    <col min="12" max="12" width="20" style="87" customWidth="1"/>
    <col min="13" max="13" width="13.7109375" customWidth="1"/>
    <col min="14" max="14" width="13" customWidth="1"/>
    <col min="15" max="15" width="11.85546875" customWidth="1"/>
    <col min="16" max="16" width="12.5703125" customWidth="1"/>
    <col min="18" max="18" width="12.7109375" customWidth="1"/>
    <col min="19" max="19" width="12.42578125" customWidth="1"/>
    <col min="20" max="20" width="10.85546875" customWidth="1"/>
    <col min="22" max="22" width="11" bestFit="1" customWidth="1"/>
    <col min="24" max="24" width="13.7109375" customWidth="1"/>
    <col min="26" max="26" width="24.85546875" customWidth="1"/>
    <col min="27" max="27" width="26" bestFit="1" customWidth="1"/>
    <col min="28" max="28" width="23.5703125" customWidth="1"/>
  </cols>
  <sheetData>
    <row r="1" spans="2:28" ht="15.75" thickBot="1" x14ac:dyDescent="0.3"/>
    <row r="2" spans="2:28" ht="15" customHeight="1" x14ac:dyDescent="0.25">
      <c r="B2" s="188" t="s">
        <v>0</v>
      </c>
      <c r="C2" s="189"/>
      <c r="D2" s="189"/>
      <c r="E2" s="189"/>
      <c r="F2" s="189"/>
      <c r="G2" s="189"/>
      <c r="H2" s="141"/>
      <c r="J2" s="191" t="s">
        <v>1</v>
      </c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</row>
    <row r="3" spans="2:28" ht="14.45" customHeight="1" x14ac:dyDescent="0.25">
      <c r="B3" s="190"/>
      <c r="C3" s="191"/>
      <c r="D3" s="191"/>
      <c r="E3" s="191"/>
      <c r="F3" s="191"/>
      <c r="G3" s="191"/>
      <c r="H3" s="142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</row>
    <row r="4" spans="2:28" x14ac:dyDescent="0.25">
      <c r="B4" s="8"/>
      <c r="C4" s="145" t="s">
        <v>2</v>
      </c>
      <c r="D4" s="145" t="s">
        <v>3</v>
      </c>
      <c r="E4" s="145" t="s">
        <v>4</v>
      </c>
      <c r="F4" s="145" t="s">
        <v>5</v>
      </c>
      <c r="G4" s="145" t="s">
        <v>6</v>
      </c>
      <c r="H4" s="9"/>
    </row>
    <row r="5" spans="2:28" ht="44.1" customHeight="1" x14ac:dyDescent="0.25">
      <c r="B5" s="10" t="s">
        <v>7</v>
      </c>
      <c r="C5">
        <v>5029000</v>
      </c>
      <c r="H5" s="11"/>
      <c r="J5" s="23"/>
      <c r="K5" s="23"/>
      <c r="L5" s="88"/>
      <c r="M5" s="23"/>
      <c r="N5" s="23" t="s">
        <v>8</v>
      </c>
      <c r="O5" s="23" t="s">
        <v>8</v>
      </c>
      <c r="P5" s="23" t="s">
        <v>9</v>
      </c>
      <c r="Q5" s="23"/>
      <c r="R5" s="23" t="s">
        <v>10</v>
      </c>
      <c r="S5" s="23" t="s">
        <v>10</v>
      </c>
      <c r="T5" s="23" t="s">
        <v>11</v>
      </c>
      <c r="U5" s="23"/>
      <c r="V5" s="23" t="s">
        <v>12</v>
      </c>
      <c r="W5" s="23"/>
      <c r="X5" s="23" t="s">
        <v>13</v>
      </c>
      <c r="Y5" s="23"/>
      <c r="Z5" s="23" t="s">
        <v>14</v>
      </c>
      <c r="AA5" s="23" t="s">
        <v>15</v>
      </c>
      <c r="AB5" s="23" t="s">
        <v>6</v>
      </c>
    </row>
    <row r="6" spans="2:28" ht="36" customHeight="1" x14ac:dyDescent="0.25">
      <c r="B6" s="10" t="s">
        <v>18</v>
      </c>
      <c r="C6">
        <v>4733000</v>
      </c>
      <c r="D6">
        <v>94.1</v>
      </c>
      <c r="E6">
        <v>92.3</v>
      </c>
      <c r="F6">
        <v>95.5</v>
      </c>
      <c r="G6" s="138" t="s">
        <v>19</v>
      </c>
      <c r="H6" s="11"/>
      <c r="I6" s="5" t="s">
        <v>20</v>
      </c>
      <c r="J6" s="6"/>
      <c r="K6" s="6"/>
      <c r="M6" s="6" t="s">
        <v>21</v>
      </c>
      <c r="N6" s="7" t="s">
        <v>152</v>
      </c>
      <c r="O6" s="7" t="s">
        <v>153</v>
      </c>
      <c r="P6" s="7" t="s">
        <v>154</v>
      </c>
      <c r="Q6" s="7"/>
      <c r="R6" s="7" t="s">
        <v>155</v>
      </c>
      <c r="S6" s="7" t="s">
        <v>156</v>
      </c>
      <c r="T6" s="7" t="s">
        <v>157</v>
      </c>
      <c r="U6" s="6"/>
      <c r="V6" s="6"/>
      <c r="W6" s="6"/>
      <c r="X6" s="6"/>
      <c r="Y6" s="6"/>
      <c r="Z6" s="6"/>
      <c r="AA6" s="6"/>
    </row>
    <row r="7" spans="2:28" ht="30" x14ac:dyDescent="0.25">
      <c r="B7" s="10" t="s">
        <v>28</v>
      </c>
      <c r="C7" s="2">
        <v>296000</v>
      </c>
      <c r="D7">
        <v>5.9</v>
      </c>
      <c r="E7">
        <v>4.5</v>
      </c>
      <c r="F7">
        <v>7.7</v>
      </c>
      <c r="G7" s="138" t="s">
        <v>19</v>
      </c>
      <c r="H7" s="11"/>
      <c r="I7" s="5" t="s">
        <v>20</v>
      </c>
      <c r="J7" s="23" t="s">
        <v>29</v>
      </c>
      <c r="K7" s="43" t="s">
        <v>30</v>
      </c>
      <c r="L7" s="89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2:28" x14ac:dyDescent="0.25">
      <c r="B8" s="10" t="s">
        <v>31</v>
      </c>
      <c r="D8" s="13">
        <v>3.1</v>
      </c>
      <c r="E8" s="13">
        <f>E7*0.525</f>
        <v>2.3625000000000003</v>
      </c>
      <c r="F8" s="13">
        <f>F7*0.52</f>
        <v>4.0040000000000004</v>
      </c>
      <c r="H8" s="11"/>
      <c r="I8" s="5" t="s">
        <v>20</v>
      </c>
      <c r="L8" s="87" t="s">
        <v>32</v>
      </c>
      <c r="M8">
        <v>20880</v>
      </c>
      <c r="N8">
        <f>((1-F13)*M8)</f>
        <v>15158.88</v>
      </c>
      <c r="O8">
        <f>C6</f>
        <v>4733000</v>
      </c>
      <c r="P8">
        <f>N8/O8</f>
        <v>3.202805831396577E-3</v>
      </c>
      <c r="R8">
        <f>F13*M8</f>
        <v>5721.1200000000008</v>
      </c>
      <c r="S8" s="2">
        <f>C7</f>
        <v>296000</v>
      </c>
      <c r="T8">
        <f>R8/S8</f>
        <v>1.9328108108108109E-2</v>
      </c>
      <c r="V8">
        <f>T8-P8</f>
        <v>1.6125302276711533E-2</v>
      </c>
      <c r="X8" s="54">
        <f>V8*S8</f>
        <v>4773.0894739066134</v>
      </c>
      <c r="Z8" s="54">
        <f>X8*F9</f>
        <v>3239.2288565291665</v>
      </c>
      <c r="AA8" s="22">
        <f>Z8*F14*F15</f>
        <v>32095575.202033594</v>
      </c>
      <c r="AB8" s="27" t="s">
        <v>33</v>
      </c>
    </row>
    <row r="9" spans="2:28" ht="24.75" x14ac:dyDescent="0.25">
      <c r="B9" s="55" t="s">
        <v>158</v>
      </c>
      <c r="D9" s="146">
        <f>D8/D7</f>
        <v>0.52542372881355925</v>
      </c>
      <c r="E9" s="146">
        <f>E8/D7</f>
        <v>0.40042372881355937</v>
      </c>
      <c r="F9" s="146">
        <f>F8/D7</f>
        <v>0.67864406779661024</v>
      </c>
      <c r="H9" s="11"/>
      <c r="I9" s="5"/>
      <c r="Z9" s="54"/>
      <c r="AA9" s="22"/>
    </row>
    <row r="10" spans="2:28" x14ac:dyDescent="0.25">
      <c r="B10" s="8"/>
      <c r="H10" s="11"/>
      <c r="I10" s="5"/>
      <c r="Z10" s="54"/>
    </row>
    <row r="11" spans="2:28" ht="30" x14ac:dyDescent="0.25">
      <c r="B11" s="26" t="s">
        <v>29</v>
      </c>
      <c r="C11" s="24"/>
      <c r="D11" s="24"/>
      <c r="E11" s="24"/>
      <c r="F11" s="24"/>
      <c r="G11" s="24"/>
      <c r="H11" s="25"/>
      <c r="I11" s="5" t="s">
        <v>20</v>
      </c>
    </row>
    <row r="12" spans="2:28" ht="17.45" customHeight="1" x14ac:dyDescent="0.25">
      <c r="B12" s="48" t="s">
        <v>43</v>
      </c>
      <c r="C12" s="3"/>
      <c r="D12" s="3"/>
      <c r="E12" s="3"/>
      <c r="F12" s="192"/>
      <c r="G12" s="192"/>
      <c r="H12" s="143"/>
      <c r="I12" s="5" t="s">
        <v>20</v>
      </c>
      <c r="L12" s="87" t="s">
        <v>40</v>
      </c>
      <c r="M12">
        <v>27180</v>
      </c>
      <c r="N12">
        <f>((1-F17)*M12)</f>
        <v>23048.639999999999</v>
      </c>
      <c r="O12">
        <f>C6</f>
        <v>4733000</v>
      </c>
      <c r="P12">
        <f>N12/O12</f>
        <v>4.8697739277413898E-3</v>
      </c>
      <c r="R12">
        <f>F17*M12</f>
        <v>4131.3599999999997</v>
      </c>
      <c r="S12" s="2">
        <f>C7</f>
        <v>296000</v>
      </c>
      <c r="T12">
        <f>R12/S12</f>
        <v>1.3957297297297297E-2</v>
      </c>
      <c r="V12">
        <f>T12-P12</f>
        <v>9.0875233695559068E-3</v>
      </c>
      <c r="X12" s="54">
        <f>V12*S12</f>
        <v>2689.9069173885482</v>
      </c>
      <c r="Z12" s="54">
        <f>X12*F9</f>
        <v>1825.4893724108047</v>
      </c>
      <c r="AA12" s="22">
        <f>Z12*D18*F19</f>
        <v>175400539.91744444</v>
      </c>
      <c r="AB12" s="27" t="s">
        <v>33</v>
      </c>
    </row>
    <row r="13" spans="2:28" ht="20.45" customHeight="1" x14ac:dyDescent="0.25">
      <c r="B13" s="14" t="s">
        <v>45</v>
      </c>
      <c r="C13" s="15" t="s">
        <v>160</v>
      </c>
      <c r="D13">
        <v>0.26</v>
      </c>
      <c r="E13" s="164">
        <v>0.254</v>
      </c>
      <c r="F13" s="164">
        <v>0.27400000000000002</v>
      </c>
      <c r="G13" s="138" t="s">
        <v>161</v>
      </c>
      <c r="H13" s="11"/>
      <c r="I13" s="5" t="s">
        <v>20</v>
      </c>
      <c r="Z13" s="54"/>
    </row>
    <row r="14" spans="2:28" ht="12.95" customHeight="1" x14ac:dyDescent="0.25">
      <c r="B14" s="8"/>
      <c r="C14" s="147" t="s">
        <v>49</v>
      </c>
      <c r="D14" s="16">
        <v>54</v>
      </c>
      <c r="E14" s="164">
        <v>22</v>
      </c>
      <c r="F14" s="164">
        <v>276</v>
      </c>
      <c r="G14" s="138" t="s">
        <v>50</v>
      </c>
      <c r="H14" s="11"/>
      <c r="I14" s="5" t="s">
        <v>20</v>
      </c>
      <c r="Z14" s="54"/>
    </row>
    <row r="15" spans="2:28" x14ac:dyDescent="0.25">
      <c r="B15" s="8"/>
      <c r="C15" s="15" t="s">
        <v>52</v>
      </c>
      <c r="D15">
        <v>26</v>
      </c>
      <c r="E15" s="164">
        <v>10.1</v>
      </c>
      <c r="F15" s="164">
        <v>35.9</v>
      </c>
      <c r="G15" s="138" t="s">
        <v>53</v>
      </c>
      <c r="H15" s="11"/>
      <c r="I15" s="5" t="s">
        <v>20</v>
      </c>
    </row>
    <row r="16" spans="2:28" ht="15" customHeight="1" x14ac:dyDescent="0.25">
      <c r="B16" s="8"/>
      <c r="C16" s="15"/>
      <c r="E16" s="164"/>
      <c r="F16" s="164"/>
      <c r="H16" s="11"/>
      <c r="I16" s="5" t="s">
        <v>20</v>
      </c>
      <c r="K16" s="44" t="s">
        <v>44</v>
      </c>
      <c r="L16" s="90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2:28" ht="15.95" customHeight="1" x14ac:dyDescent="0.25">
      <c r="B17" s="17" t="s">
        <v>55</v>
      </c>
      <c r="C17" s="15" t="s">
        <v>162</v>
      </c>
      <c r="D17">
        <v>0.14299999999999999</v>
      </c>
      <c r="E17" s="164">
        <v>0.13400000000000001</v>
      </c>
      <c r="F17" s="164">
        <v>0.152</v>
      </c>
      <c r="G17" s="138" t="s">
        <v>161</v>
      </c>
      <c r="H17" s="11"/>
      <c r="I17" s="5" t="s">
        <v>20</v>
      </c>
      <c r="L17" s="87" t="s">
        <v>48</v>
      </c>
      <c r="M17">
        <v>5625</v>
      </c>
      <c r="AB17" s="1" t="s">
        <v>54</v>
      </c>
    </row>
    <row r="18" spans="2:28" ht="30" x14ac:dyDescent="0.25">
      <c r="B18" s="8"/>
      <c r="C18" s="15" t="s">
        <v>57</v>
      </c>
      <c r="D18" s="16">
        <v>52.62</v>
      </c>
      <c r="E18" s="164"/>
      <c r="F18" s="164"/>
      <c r="G18" s="138" t="s">
        <v>58</v>
      </c>
      <c r="H18" s="11"/>
      <c r="I18" s="5" t="s">
        <v>20</v>
      </c>
      <c r="L18" s="87" t="s">
        <v>51</v>
      </c>
      <c r="M18">
        <f>M17-M22</f>
        <v>5222</v>
      </c>
      <c r="N18">
        <f>((1-F22)*M18)</f>
        <v>3634.5119999999997</v>
      </c>
      <c r="O18">
        <f>C6</f>
        <v>4733000</v>
      </c>
      <c r="P18">
        <f>N18/O18</f>
        <v>7.6790872596661731E-4</v>
      </c>
      <c r="R18">
        <f>F22*M18</f>
        <v>1587.4880000000001</v>
      </c>
      <c r="S18" s="2">
        <f>C7</f>
        <v>296000</v>
      </c>
      <c r="T18">
        <f>R18/S18</f>
        <v>5.3631351351351355E-3</v>
      </c>
      <c r="V18">
        <f>T18-P18</f>
        <v>4.5952264091685185E-3</v>
      </c>
      <c r="X18" s="54">
        <f>V18*S18</f>
        <v>1360.1870171138814</v>
      </c>
      <c r="Z18" s="54">
        <f>X18*F9</f>
        <v>923.08285025830196</v>
      </c>
      <c r="AA18" s="22">
        <f>Z18*D25*F23</f>
        <v>18041745.572108969</v>
      </c>
    </row>
    <row r="19" spans="2:28" ht="24.6" customHeight="1" x14ac:dyDescent="0.25">
      <c r="B19" s="8"/>
      <c r="C19" s="147" t="s">
        <v>276</v>
      </c>
      <c r="D19">
        <f>2.7*365</f>
        <v>985.50000000000011</v>
      </c>
      <c r="E19" s="164">
        <v>182.5</v>
      </c>
      <c r="F19" s="164">
        <v>1826</v>
      </c>
      <c r="G19" s="138" t="s">
        <v>61</v>
      </c>
      <c r="H19" s="11"/>
      <c r="I19" s="5" t="s">
        <v>20</v>
      </c>
      <c r="Z19" s="54"/>
    </row>
    <row r="20" spans="2:28" x14ac:dyDescent="0.25">
      <c r="B20" s="8"/>
      <c r="C20" s="147"/>
      <c r="G20" s="138"/>
      <c r="H20" s="12"/>
      <c r="I20" s="5" t="s">
        <v>20</v>
      </c>
      <c r="Z20" s="54"/>
    </row>
    <row r="21" spans="2:28" ht="26.45" customHeight="1" x14ac:dyDescent="0.25">
      <c r="B21" s="49" t="s">
        <v>44</v>
      </c>
      <c r="C21" s="148"/>
      <c r="D21" s="4"/>
      <c r="E21" s="4"/>
      <c r="F21" s="4"/>
      <c r="G21" s="4"/>
      <c r="H21" s="18"/>
      <c r="I21" s="5" t="s">
        <v>20</v>
      </c>
    </row>
    <row r="22" spans="2:28" ht="30" x14ac:dyDescent="0.25">
      <c r="B22" s="8"/>
      <c r="C22" s="15" t="s">
        <v>164</v>
      </c>
      <c r="D22">
        <v>0.25</v>
      </c>
      <c r="E22">
        <v>0.2</v>
      </c>
      <c r="F22">
        <v>0.30399999999999999</v>
      </c>
      <c r="G22" s="138" t="s">
        <v>165</v>
      </c>
      <c r="H22" s="11"/>
      <c r="I22" s="5" t="s">
        <v>20</v>
      </c>
      <c r="L22" s="87" t="s">
        <v>59</v>
      </c>
      <c r="M22">
        <v>403</v>
      </c>
      <c r="N22">
        <f>((1-F22)*M22)</f>
        <v>280.488</v>
      </c>
      <c r="O22">
        <f>C6</f>
        <v>4733000</v>
      </c>
      <c r="P22">
        <f>N22/O22</f>
        <v>5.9262201563490389E-5</v>
      </c>
      <c r="R22">
        <f>F22*M22</f>
        <v>122.512</v>
      </c>
      <c r="S22" s="2">
        <f>C7</f>
        <v>296000</v>
      </c>
      <c r="T22">
        <f>R22/S22</f>
        <v>4.1389189189189188E-4</v>
      </c>
      <c r="V22">
        <f>T22-P22</f>
        <v>3.5462969032840151E-4</v>
      </c>
      <c r="X22" s="54">
        <f>V22*S22</f>
        <v>104.97038833720684</v>
      </c>
      <c r="Z22" s="54">
        <f>X22*F9</f>
        <v>71.237531339351904</v>
      </c>
      <c r="AA22" s="22">
        <f>Z22*D25*F26</f>
        <v>1499132.0840969894</v>
      </c>
    </row>
    <row r="23" spans="2:28" ht="24.6" customHeight="1" x14ac:dyDescent="0.25">
      <c r="B23" s="8"/>
      <c r="C23" s="15" t="s">
        <v>66</v>
      </c>
      <c r="D23">
        <f>30*4.7</f>
        <v>141</v>
      </c>
      <c r="E23">
        <f>2.1*30</f>
        <v>63</v>
      </c>
      <c r="F23">
        <f>11.3*30</f>
        <v>339</v>
      </c>
      <c r="G23" s="38" t="s">
        <v>67</v>
      </c>
      <c r="H23" s="163"/>
      <c r="I23" s="97" t="s">
        <v>166</v>
      </c>
      <c r="Z23" s="54"/>
    </row>
    <row r="24" spans="2:28" ht="29.45" customHeight="1" x14ac:dyDescent="0.25">
      <c r="B24" s="8"/>
      <c r="C24" s="147" t="s">
        <v>167</v>
      </c>
      <c r="D24" s="19">
        <v>20571</v>
      </c>
      <c r="G24" s="138" t="s">
        <v>70</v>
      </c>
      <c r="H24" s="11"/>
      <c r="I24" s="5" t="s">
        <v>20</v>
      </c>
      <c r="Z24" s="54"/>
    </row>
    <row r="25" spans="2:28" ht="15.75" x14ac:dyDescent="0.25">
      <c r="B25" s="8"/>
      <c r="C25" s="15" t="s">
        <v>168</v>
      </c>
      <c r="D25" s="40">
        <f>D24/365*1.023</f>
        <v>57.655158904109584</v>
      </c>
      <c r="G25" s="138"/>
      <c r="H25" s="11"/>
      <c r="I25" s="5" t="s">
        <v>20</v>
      </c>
      <c r="J25" s="29" t="s">
        <v>65</v>
      </c>
      <c r="K25" s="28"/>
      <c r="L25" s="91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</row>
    <row r="26" spans="2:28" ht="18" customHeight="1" x14ac:dyDescent="0.25">
      <c r="B26" s="8"/>
      <c r="C26" s="15" t="s">
        <v>73</v>
      </c>
      <c r="D26">
        <v>365</v>
      </c>
      <c r="E26" s="97">
        <f>8*30</f>
        <v>240</v>
      </c>
      <c r="F26">
        <v>365</v>
      </c>
      <c r="G26" s="38" t="s">
        <v>74</v>
      </c>
      <c r="H26" s="11"/>
      <c r="I26" s="5" t="s">
        <v>166</v>
      </c>
      <c r="K26" s="45" t="s">
        <v>68</v>
      </c>
      <c r="L26" s="92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</row>
    <row r="27" spans="2:28" x14ac:dyDescent="0.25">
      <c r="B27" s="8"/>
      <c r="C27" s="15" t="s">
        <v>169</v>
      </c>
      <c r="D27">
        <v>2.3E-2</v>
      </c>
      <c r="H27" s="11"/>
      <c r="M27" s="53">
        <v>116627</v>
      </c>
      <c r="N27" s="54">
        <f>(1-D30)*M27</f>
        <v>105314.181</v>
      </c>
      <c r="O27" s="53">
        <f>F34</f>
        <v>3235402.48</v>
      </c>
      <c r="P27">
        <f>N27/O27</f>
        <v>3.255056570272518E-2</v>
      </c>
      <c r="R27" s="53">
        <f>M27*D30</f>
        <v>11312.819</v>
      </c>
      <c r="S27" s="53">
        <f>F36</f>
        <v>39637.915200000003</v>
      </c>
      <c r="T27">
        <f>R27/S27</f>
        <v>0.28540398613093554</v>
      </c>
      <c r="V27" s="56">
        <f>T27-P27</f>
        <v>0.25285342042821035</v>
      </c>
      <c r="X27" s="54">
        <f>V27*S27</f>
        <v>10022.58243696335</v>
      </c>
      <c r="Z27" s="54">
        <f>X27*F9</f>
        <v>6801.7661148476709</v>
      </c>
      <c r="AA27" s="22">
        <f>Z27*F31</f>
        <v>382599343.96018147</v>
      </c>
      <c r="AB27" s="27" t="s">
        <v>71</v>
      </c>
    </row>
    <row r="28" spans="2:28" x14ac:dyDescent="0.25">
      <c r="B28" s="35" t="s">
        <v>65</v>
      </c>
      <c r="C28" s="29"/>
      <c r="D28" s="29"/>
      <c r="E28" s="29"/>
      <c r="F28" s="29"/>
      <c r="G28" s="29"/>
      <c r="H28" s="36"/>
      <c r="Z28" s="54"/>
    </row>
    <row r="29" spans="2:28" x14ac:dyDescent="0.25">
      <c r="B29" s="50" t="s">
        <v>68</v>
      </c>
      <c r="C29" s="149"/>
      <c r="D29" s="30"/>
      <c r="E29" s="30"/>
      <c r="F29" s="30"/>
      <c r="G29" s="30"/>
      <c r="H29" s="37"/>
      <c r="Z29" s="54"/>
    </row>
    <row r="30" spans="2:28" x14ac:dyDescent="0.25">
      <c r="B30" s="8"/>
      <c r="C30" s="15" t="s">
        <v>170</v>
      </c>
      <c r="D30" s="56">
        <v>9.7000000000000003E-2</v>
      </c>
      <c r="G30" s="138" t="s">
        <v>19</v>
      </c>
      <c r="H30" s="11"/>
      <c r="I30" s="5" t="s">
        <v>20</v>
      </c>
    </row>
    <row r="31" spans="2:28" x14ac:dyDescent="0.25">
      <c r="B31" s="8"/>
      <c r="C31" s="15" t="s">
        <v>78</v>
      </c>
      <c r="D31" s="57">
        <v>46770</v>
      </c>
      <c r="E31">
        <v>25620</v>
      </c>
      <c r="F31">
        <v>56250</v>
      </c>
      <c r="G31" s="38" t="s">
        <v>79</v>
      </c>
      <c r="H31" s="11"/>
      <c r="I31" s="5" t="s">
        <v>20</v>
      </c>
      <c r="K31" s="81" t="s">
        <v>75</v>
      </c>
      <c r="L31" s="93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</row>
    <row r="32" spans="2:28" x14ac:dyDescent="0.25">
      <c r="B32" s="8"/>
      <c r="C32" s="15" t="s">
        <v>80</v>
      </c>
      <c r="D32">
        <v>3387856</v>
      </c>
      <c r="G32" s="38" t="s">
        <v>81</v>
      </c>
      <c r="H32" s="11"/>
      <c r="I32" s="5" t="s">
        <v>20</v>
      </c>
      <c r="M32" s="53"/>
      <c r="N32" s="53"/>
      <c r="O32" s="53"/>
      <c r="P32" s="67"/>
      <c r="R32" s="2"/>
      <c r="S32" s="2"/>
      <c r="V32" s="56"/>
      <c r="X32" s="2">
        <f>S27-R27</f>
        <v>28325.096200000004</v>
      </c>
      <c r="Z32" s="54">
        <f>X32*F9</f>
        <v>19222.658505898311</v>
      </c>
      <c r="AA32" s="59">
        <f>Z32*F46*F40</f>
        <v>32446309.745275877</v>
      </c>
    </row>
    <row r="33" spans="2:28" x14ac:dyDescent="0.25">
      <c r="B33" s="8"/>
      <c r="C33" s="15" t="s">
        <v>83</v>
      </c>
      <c r="D33" s="74">
        <v>116627</v>
      </c>
      <c r="G33" s="38" t="s">
        <v>81</v>
      </c>
      <c r="H33" s="11"/>
      <c r="I33" s="5" t="s">
        <v>20</v>
      </c>
      <c r="Z33" s="54"/>
    </row>
    <row r="34" spans="2:28" x14ac:dyDescent="0.25">
      <c r="B34" s="8"/>
      <c r="C34" s="15" t="s">
        <v>171</v>
      </c>
      <c r="D34" s="53">
        <f>D32*0.941</f>
        <v>3187972.4959999998</v>
      </c>
      <c r="E34" s="53">
        <f>D32*0.923</f>
        <v>3126991.088</v>
      </c>
      <c r="F34" s="53">
        <f>D32*0.955</f>
        <v>3235402.48</v>
      </c>
      <c r="G34" s="38"/>
      <c r="H34" s="11"/>
      <c r="I34" s="5" t="s">
        <v>20</v>
      </c>
      <c r="Z34" s="54"/>
    </row>
    <row r="35" spans="2:28" x14ac:dyDescent="0.25">
      <c r="B35" s="8"/>
      <c r="C35" s="15" t="s">
        <v>85</v>
      </c>
      <c r="D35" s="53">
        <f>D32-D34</f>
        <v>199883.50400000019</v>
      </c>
      <c r="E35" s="53">
        <f>D32-E34</f>
        <v>260864.91200000001</v>
      </c>
      <c r="F35" s="53">
        <f>D32-F34</f>
        <v>152453.52000000002</v>
      </c>
      <c r="G35" s="38"/>
      <c r="H35" s="11"/>
      <c r="I35" s="5" t="s">
        <v>20</v>
      </c>
      <c r="Z35" s="54"/>
    </row>
    <row r="36" spans="2:28" x14ac:dyDescent="0.25">
      <c r="B36" s="8"/>
      <c r="C36" s="15" t="s">
        <v>172</v>
      </c>
      <c r="D36" s="53">
        <f>D35*0.26</f>
        <v>51969.711040000053</v>
      </c>
      <c r="E36" s="53">
        <f t="shared" ref="E36:F36" si="0">E35*0.26</f>
        <v>67824.877120000005</v>
      </c>
      <c r="F36" s="53">
        <f t="shared" si="0"/>
        <v>39637.915200000003</v>
      </c>
      <c r="H36" s="11"/>
      <c r="I36" s="5" t="s">
        <v>20</v>
      </c>
    </row>
    <row r="37" spans="2:28" x14ac:dyDescent="0.25">
      <c r="B37" s="8"/>
      <c r="C37" s="15"/>
      <c r="D37" s="53"/>
      <c r="G37" s="38"/>
      <c r="H37" s="11"/>
      <c r="I37" s="5" t="s">
        <v>20</v>
      </c>
      <c r="M37" s="53"/>
      <c r="N37" s="53"/>
      <c r="O37" s="53"/>
      <c r="R37" s="2"/>
      <c r="S37" s="2"/>
      <c r="X37" s="2">
        <f>S27-R27</f>
        <v>28325.096200000004</v>
      </c>
      <c r="Z37" s="54">
        <f>X37*F9</f>
        <v>19222.658505898311</v>
      </c>
      <c r="AA37" s="59">
        <f>Z37*F50*F40</f>
        <v>235235745.6532501</v>
      </c>
    </row>
    <row r="38" spans="2:28" x14ac:dyDescent="0.25">
      <c r="B38" s="83" t="s">
        <v>75</v>
      </c>
      <c r="C38" s="82"/>
      <c r="D38" s="82"/>
      <c r="E38" s="82"/>
      <c r="F38" s="82"/>
      <c r="G38" s="82"/>
      <c r="H38" s="84"/>
      <c r="I38" s="5" t="s">
        <v>20</v>
      </c>
      <c r="Z38" s="54"/>
      <c r="AA38" s="59"/>
    </row>
    <row r="39" spans="2:28" x14ac:dyDescent="0.25">
      <c r="B39" s="63"/>
      <c r="C39" s="15" t="s">
        <v>173</v>
      </c>
      <c r="D39">
        <v>0.38100000000000001</v>
      </c>
      <c r="G39" s="38" t="s">
        <v>174</v>
      </c>
      <c r="H39" s="11"/>
      <c r="I39" s="5" t="s">
        <v>20</v>
      </c>
      <c r="Z39" s="54"/>
      <c r="AA39" s="59"/>
    </row>
    <row r="40" spans="2:28" x14ac:dyDescent="0.25">
      <c r="B40" s="63"/>
      <c r="C40" s="15" t="s">
        <v>90</v>
      </c>
      <c r="D40">
        <v>22.49</v>
      </c>
      <c r="E40">
        <v>12.32</v>
      </c>
      <c r="F40">
        <v>27.05</v>
      </c>
      <c r="G40" s="38" t="s">
        <v>91</v>
      </c>
      <c r="H40" s="11"/>
      <c r="I40" s="5" t="s">
        <v>20</v>
      </c>
      <c r="AA40" s="59"/>
    </row>
    <row r="41" spans="2:28" x14ac:dyDescent="0.25">
      <c r="B41" s="60" t="s">
        <v>92</v>
      </c>
      <c r="C41" s="15" t="s">
        <v>175</v>
      </c>
      <c r="D41">
        <v>11.5</v>
      </c>
      <c r="G41" s="38" t="s">
        <v>176</v>
      </c>
      <c r="H41" s="11"/>
      <c r="I41" s="5" t="s">
        <v>20</v>
      </c>
      <c r="K41" s="46" t="s">
        <v>87</v>
      </c>
      <c r="L41" s="94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</row>
    <row r="42" spans="2:28" x14ac:dyDescent="0.25">
      <c r="B42" s="8"/>
      <c r="C42" s="15" t="s">
        <v>177</v>
      </c>
      <c r="D42">
        <v>0.8</v>
      </c>
      <c r="E42">
        <f>D42-0.4</f>
        <v>0.4</v>
      </c>
      <c r="F42">
        <f>D42+0.4</f>
        <v>1.2000000000000002</v>
      </c>
      <c r="G42" s="38" t="s">
        <v>94</v>
      </c>
      <c r="H42" s="11"/>
      <c r="I42" s="5" t="s">
        <v>20</v>
      </c>
      <c r="L42" s="87" t="s">
        <v>89</v>
      </c>
      <c r="M42">
        <f>D57</f>
        <v>15968</v>
      </c>
      <c r="N42" s="54">
        <f>M42-R42</f>
        <v>11664.624</v>
      </c>
      <c r="O42" s="53">
        <f>F59</f>
        <v>4692597.8250000002</v>
      </c>
      <c r="P42">
        <f>N42/O42</f>
        <v>2.4857497776298353E-3</v>
      </c>
      <c r="R42" s="54">
        <f>S42*F63</f>
        <v>4303.3760000000002</v>
      </c>
      <c r="S42" s="2">
        <f>F60</f>
        <v>378356.05499999999</v>
      </c>
      <c r="T42">
        <f>R42/S42</f>
        <v>1.1373879030428099E-2</v>
      </c>
      <c r="V42">
        <f>T42-P42</f>
        <v>8.888129252798263E-3</v>
      </c>
      <c r="X42" s="54">
        <f>V42*S42</f>
        <v>3362.8775204188482</v>
      </c>
      <c r="Z42" s="54">
        <v>12052.4</v>
      </c>
      <c r="AA42" s="22">
        <f>Z42*D64</f>
        <v>563690748</v>
      </c>
    </row>
    <row r="43" spans="2:28" x14ac:dyDescent="0.25">
      <c r="B43" s="61"/>
      <c r="C43" s="15" t="s">
        <v>178</v>
      </c>
      <c r="D43">
        <f>D42*52</f>
        <v>41.6</v>
      </c>
      <c r="E43">
        <f>E42*52</f>
        <v>20.8</v>
      </c>
      <c r="F43">
        <f>F42*52</f>
        <v>62.400000000000006</v>
      </c>
      <c r="H43" s="11"/>
      <c r="I43" s="5" t="s">
        <v>20</v>
      </c>
      <c r="S43" s="2"/>
      <c r="Z43" s="54"/>
      <c r="AA43" s="22"/>
    </row>
    <row r="44" spans="2:28" x14ac:dyDescent="0.25">
      <c r="B44" s="8"/>
      <c r="C44" s="15" t="s">
        <v>179</v>
      </c>
      <c r="D44">
        <f>D41*8</f>
        <v>92</v>
      </c>
      <c r="H44" s="11"/>
      <c r="I44" s="5" t="s">
        <v>20</v>
      </c>
      <c r="S44" s="2"/>
      <c r="Z44" s="54"/>
      <c r="AA44" s="22"/>
    </row>
    <row r="45" spans="2:28" x14ac:dyDescent="0.25">
      <c r="B45" s="8"/>
      <c r="C45" s="15"/>
      <c r="G45" s="38"/>
      <c r="H45" s="11"/>
      <c r="I45" s="5" t="s">
        <v>20</v>
      </c>
      <c r="S45" s="2"/>
      <c r="Z45" s="54"/>
      <c r="AA45" s="22"/>
    </row>
    <row r="46" spans="2:28" ht="15" customHeight="1" x14ac:dyDescent="0.25">
      <c r="B46" s="8"/>
      <c r="C46" s="15" t="s">
        <v>180</v>
      </c>
      <c r="D46" s="2">
        <f>AVERAGE(D43,D44)</f>
        <v>66.8</v>
      </c>
      <c r="E46" s="2">
        <f t="shared" ref="E46:F46" si="1">AVERAGE(E43,E44)</f>
        <v>20.8</v>
      </c>
      <c r="F46" s="2">
        <f t="shared" si="1"/>
        <v>62.400000000000006</v>
      </c>
      <c r="G46" s="38"/>
      <c r="H46" s="11"/>
      <c r="I46" s="5" t="s">
        <v>20</v>
      </c>
      <c r="L46" s="87" t="s">
        <v>95</v>
      </c>
      <c r="M46">
        <v>17552</v>
      </c>
      <c r="S46" s="2"/>
      <c r="Z46" s="54"/>
      <c r="AA46" s="22"/>
    </row>
    <row r="47" spans="2:28" x14ac:dyDescent="0.25">
      <c r="B47" s="8"/>
      <c r="C47" s="15"/>
      <c r="D47" s="2"/>
      <c r="G47" s="38"/>
      <c r="H47" s="11"/>
      <c r="I47" s="5" t="s">
        <v>20</v>
      </c>
      <c r="S47" s="2"/>
      <c r="X47">
        <v>17552</v>
      </c>
      <c r="Z47" s="54">
        <f>X47*F9</f>
        <v>11911.560677966103</v>
      </c>
      <c r="AA47" s="22">
        <f>Z47*F64</f>
        <v>670025288.1355933</v>
      </c>
    </row>
    <row r="48" spans="2:28" x14ac:dyDescent="0.25">
      <c r="B48" s="8"/>
      <c r="C48" s="15"/>
      <c r="D48" s="2"/>
      <c r="G48" s="38"/>
      <c r="H48" s="11"/>
      <c r="I48" s="5" t="s">
        <v>20</v>
      </c>
      <c r="S48" s="2"/>
      <c r="Z48" s="13"/>
      <c r="AA48" s="22"/>
    </row>
    <row r="49" spans="2:28" x14ac:dyDescent="0.25">
      <c r="B49" s="60" t="s">
        <v>98</v>
      </c>
      <c r="C49" s="15" t="s">
        <v>181</v>
      </c>
      <c r="D49">
        <v>6.1</v>
      </c>
      <c r="E49">
        <f>D49-1.3</f>
        <v>4.8</v>
      </c>
      <c r="F49">
        <f>D49+1.3</f>
        <v>7.3999999999999995</v>
      </c>
      <c r="G49" s="38" t="s">
        <v>94</v>
      </c>
      <c r="H49" s="11"/>
      <c r="I49" s="5" t="s">
        <v>20</v>
      </c>
      <c r="S49" s="2"/>
      <c r="AA49" s="22"/>
    </row>
    <row r="50" spans="2:28" x14ac:dyDescent="0.25">
      <c r="B50" s="61"/>
      <c r="C50" s="15" t="s">
        <v>182</v>
      </c>
      <c r="D50" s="2">
        <f>D49*52</f>
        <v>317.2</v>
      </c>
      <c r="E50">
        <v>187.2</v>
      </c>
      <c r="F50">
        <v>452.4</v>
      </c>
      <c r="G50" s="38"/>
      <c r="H50" s="11"/>
      <c r="I50" s="5" t="s">
        <v>20</v>
      </c>
      <c r="S50" s="2"/>
      <c r="AA50" s="22"/>
    </row>
    <row r="51" spans="2:28" x14ac:dyDescent="0.25">
      <c r="B51" s="61"/>
      <c r="C51" s="15"/>
      <c r="D51" s="2"/>
      <c r="G51" s="38"/>
      <c r="H51" s="11"/>
      <c r="I51" s="5" t="s">
        <v>20</v>
      </c>
    </row>
    <row r="52" spans="2:28" x14ac:dyDescent="0.25">
      <c r="B52" s="61"/>
      <c r="C52" s="15"/>
      <c r="D52" s="2"/>
      <c r="G52" s="38"/>
      <c r="H52" s="11"/>
      <c r="I52" s="5" t="s">
        <v>20</v>
      </c>
      <c r="K52" s="47" t="s">
        <v>99</v>
      </c>
      <c r="L52" s="95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</row>
    <row r="53" spans="2:28" ht="28.5" customHeight="1" x14ac:dyDescent="0.25">
      <c r="B53" s="8"/>
      <c r="H53" s="11"/>
      <c r="I53" s="5" t="s">
        <v>20</v>
      </c>
      <c r="L53" s="87" t="s">
        <v>101</v>
      </c>
      <c r="X53">
        <f>D76</f>
        <v>46606</v>
      </c>
      <c r="Z53" s="53">
        <f>X53*F9</f>
        <v>31628.885423728818</v>
      </c>
      <c r="AA53" s="22">
        <f>Z53*F72*F75</f>
        <v>694031367.69746459</v>
      </c>
    </row>
    <row r="54" spans="2:28" x14ac:dyDescent="0.25">
      <c r="B54" s="51" t="s">
        <v>87</v>
      </c>
      <c r="C54" s="32"/>
      <c r="D54" s="32"/>
      <c r="E54" s="32"/>
      <c r="F54" s="32"/>
      <c r="G54" s="32"/>
      <c r="H54" s="41"/>
      <c r="I54" s="5" t="s">
        <v>20</v>
      </c>
      <c r="Z54" s="53"/>
    </row>
    <row r="55" spans="2:28" x14ac:dyDescent="0.25">
      <c r="B55" s="63"/>
      <c r="C55" s="152" t="s">
        <v>183</v>
      </c>
      <c r="D55">
        <v>992</v>
      </c>
      <c r="H55" s="11"/>
      <c r="I55" s="5" t="s">
        <v>20</v>
      </c>
      <c r="Z55" s="53"/>
    </row>
    <row r="56" spans="2:28" x14ac:dyDescent="0.25">
      <c r="B56" s="8"/>
      <c r="C56" s="15" t="s">
        <v>103</v>
      </c>
      <c r="D56">
        <v>17552</v>
      </c>
      <c r="E56">
        <v>11764</v>
      </c>
      <c r="F56">
        <v>32092</v>
      </c>
      <c r="G56" s="38" t="s">
        <v>104</v>
      </c>
      <c r="H56" s="11"/>
      <c r="I56" s="5" t="s">
        <v>20</v>
      </c>
      <c r="Z56" s="53"/>
    </row>
    <row r="57" spans="2:28" ht="45" x14ac:dyDescent="0.25">
      <c r="B57" s="8"/>
      <c r="C57" s="15" t="s">
        <v>184</v>
      </c>
      <c r="D57">
        <v>15968</v>
      </c>
      <c r="G57" s="38" t="s">
        <v>104</v>
      </c>
      <c r="H57" s="11"/>
      <c r="I57" s="5" t="s">
        <v>20</v>
      </c>
      <c r="L57" s="87" t="s">
        <v>105</v>
      </c>
      <c r="X57">
        <f>D76</f>
        <v>46606</v>
      </c>
      <c r="Z57" s="53">
        <f>X57*F9</f>
        <v>31628.885423728818</v>
      </c>
      <c r="AA57" s="59">
        <f>Z57*F78</f>
        <v>5574059.6906570848</v>
      </c>
    </row>
    <row r="58" spans="2:28" ht="24.75" x14ac:dyDescent="0.25">
      <c r="B58" s="8"/>
      <c r="C58" s="15" t="s">
        <v>106</v>
      </c>
      <c r="D58">
        <f>C5-115285</f>
        <v>4913715</v>
      </c>
      <c r="G58" s="38" t="s">
        <v>107</v>
      </c>
      <c r="H58" s="11"/>
      <c r="I58" s="5" t="s">
        <v>20</v>
      </c>
      <c r="Z58" s="53"/>
    </row>
    <row r="59" spans="2:28" x14ac:dyDescent="0.25">
      <c r="B59" s="8"/>
      <c r="C59" s="15" t="s">
        <v>185</v>
      </c>
      <c r="D59" s="53">
        <f>D58*D6/100</f>
        <v>4623805.8150000004</v>
      </c>
      <c r="E59" s="53">
        <f>D58*E6/100</f>
        <v>4535358.9450000003</v>
      </c>
      <c r="F59" s="53">
        <f>D58*F6/100</f>
        <v>4692597.8250000002</v>
      </c>
      <c r="G59" s="38"/>
      <c r="H59" s="11"/>
      <c r="I59" s="5" t="s">
        <v>20</v>
      </c>
      <c r="Z59" s="53"/>
    </row>
    <row r="60" spans="2:28" ht="15" customHeight="1" x14ac:dyDescent="0.25">
      <c r="B60" s="8"/>
      <c r="C60" s="15" t="s">
        <v>186</v>
      </c>
      <c r="D60" s="53">
        <f>D58*D7/100</f>
        <v>289909.185</v>
      </c>
      <c r="E60" s="53">
        <f>D58*E7/100</f>
        <v>221117.17499999999</v>
      </c>
      <c r="F60" s="53">
        <f>D58*F7/100</f>
        <v>378356.05499999999</v>
      </c>
      <c r="G60" s="38"/>
      <c r="H60" s="11"/>
      <c r="I60" s="5" t="s">
        <v>20</v>
      </c>
    </row>
    <row r="61" spans="2:28" ht="24.75" x14ac:dyDescent="0.25">
      <c r="B61" s="62"/>
      <c r="C61" s="15" t="s">
        <v>187</v>
      </c>
      <c r="D61">
        <f>(2+3.5)/2</f>
        <v>2.75</v>
      </c>
      <c r="E61">
        <v>2</v>
      </c>
      <c r="F61">
        <v>3.5</v>
      </c>
      <c r="G61" s="38" t="s">
        <v>188</v>
      </c>
      <c r="H61" s="11"/>
      <c r="I61" s="11" t="s">
        <v>189</v>
      </c>
      <c r="J61" s="23" t="s">
        <v>111</v>
      </c>
      <c r="K61" s="28"/>
      <c r="L61" s="28"/>
      <c r="M61" s="28"/>
      <c r="N61" s="77"/>
      <c r="O61" s="28"/>
      <c r="P61" s="28"/>
      <c r="Q61" s="28"/>
      <c r="R61" s="77"/>
      <c r="S61" s="28"/>
      <c r="T61" s="28"/>
      <c r="U61" s="28"/>
      <c r="V61" s="28"/>
      <c r="W61" s="28"/>
      <c r="X61" s="65"/>
      <c r="Y61" s="28"/>
      <c r="Z61" s="65"/>
      <c r="AA61" s="69"/>
      <c r="AB61" s="69"/>
    </row>
    <row r="62" spans="2:28" ht="15.75" x14ac:dyDescent="0.25">
      <c r="B62" s="62"/>
      <c r="C62" s="15" t="s">
        <v>190</v>
      </c>
      <c r="D62" s="151">
        <f>M42/D58</f>
        <v>3.2496797229794564E-3</v>
      </c>
      <c r="G62" s="38" t="s">
        <v>113</v>
      </c>
      <c r="H62" s="11"/>
      <c r="I62" s="5" t="s">
        <v>20</v>
      </c>
      <c r="J62" s="109"/>
      <c r="K62" s="111" t="s">
        <v>114</v>
      </c>
      <c r="L62" s="112"/>
      <c r="M62" s="112"/>
      <c r="N62" s="113"/>
      <c r="O62" s="112"/>
      <c r="P62" s="112"/>
      <c r="Q62" s="112"/>
      <c r="R62" s="113"/>
      <c r="S62" s="112"/>
      <c r="T62" s="112"/>
      <c r="U62" s="112"/>
      <c r="V62" s="112"/>
      <c r="W62" s="112"/>
      <c r="X62" s="114"/>
      <c r="Y62" s="112"/>
      <c r="Z62" s="114"/>
      <c r="AA62" s="115"/>
      <c r="AB62" s="115"/>
    </row>
    <row r="63" spans="2:28" x14ac:dyDescent="0.25">
      <c r="B63" s="62"/>
      <c r="C63" s="15" t="s">
        <v>191</v>
      </c>
      <c r="D63" s="146">
        <f>D61*D62</f>
        <v>8.9366192381935047E-3</v>
      </c>
      <c r="E63" s="146">
        <f>E61*D62</f>
        <v>6.4993594459589127E-3</v>
      </c>
      <c r="F63" s="146">
        <f>F61*D62</f>
        <v>1.1373879030428097E-2</v>
      </c>
      <c r="G63" t="s">
        <v>116</v>
      </c>
      <c r="H63" s="11"/>
      <c r="I63" s="5" t="s">
        <v>20</v>
      </c>
      <c r="L63" s="87" t="s">
        <v>117</v>
      </c>
      <c r="X63">
        <f>F86*C7</f>
        <v>99456</v>
      </c>
      <c r="Z63" s="53">
        <f>X63*F9</f>
        <v>67495.224406779671</v>
      </c>
      <c r="AA63" s="22">
        <f>Z63*D85</f>
        <v>111143711.07840002</v>
      </c>
    </row>
    <row r="64" spans="2:28" x14ac:dyDescent="0.25">
      <c r="B64" s="62"/>
      <c r="C64" s="15" t="s">
        <v>78</v>
      </c>
      <c r="D64" s="40">
        <v>46770</v>
      </c>
      <c r="E64">
        <v>25620</v>
      </c>
      <c r="F64">
        <v>56250</v>
      </c>
      <c r="G64" s="38" t="s">
        <v>79</v>
      </c>
      <c r="H64" s="11"/>
      <c r="I64" s="5" t="s">
        <v>20</v>
      </c>
      <c r="Z64" s="53"/>
    </row>
    <row r="65" spans="2:27" ht="26.45" customHeight="1" x14ac:dyDescent="0.25">
      <c r="B65" s="62"/>
      <c r="C65" s="15" t="s">
        <v>192</v>
      </c>
      <c r="D65" s="104">
        <f>X42*D9</f>
        <v>1766.9356463217675</v>
      </c>
      <c r="G65" s="38"/>
      <c r="H65" s="11"/>
      <c r="I65" s="5" t="s">
        <v>20</v>
      </c>
      <c r="Z65" s="53"/>
    </row>
    <row r="66" spans="2:27" ht="25.5" customHeight="1" x14ac:dyDescent="0.25">
      <c r="B66" s="62"/>
      <c r="C66" s="15" t="s">
        <v>193</v>
      </c>
      <c r="D66" s="104">
        <f>E9*X42</f>
        <v>1346.5759562694118</v>
      </c>
      <c r="G66" s="38"/>
      <c r="H66" s="11"/>
      <c r="I66" s="5" t="s">
        <v>20</v>
      </c>
    </row>
    <row r="67" spans="2:27" ht="26.45" customHeight="1" x14ac:dyDescent="0.25">
      <c r="B67" s="62"/>
      <c r="C67" s="15" t="s">
        <v>194</v>
      </c>
      <c r="D67" s="104">
        <f>X42*F9</f>
        <v>2282.1968799588253</v>
      </c>
      <c r="G67" s="38"/>
      <c r="H67" s="11"/>
      <c r="I67" s="5" t="s">
        <v>20</v>
      </c>
      <c r="L67" s="102" t="s">
        <v>121</v>
      </c>
      <c r="X67">
        <f>C7*F89</f>
        <v>191512</v>
      </c>
      <c r="Z67" s="53">
        <f>X67*F9</f>
        <v>129968.48271186442</v>
      </c>
      <c r="AA67" s="22">
        <f>Z67*F88</f>
        <v>449437381.67328012</v>
      </c>
    </row>
    <row r="68" spans="2:27" ht="36.75" x14ac:dyDescent="0.25">
      <c r="B68" s="8"/>
      <c r="C68" s="15" t="s">
        <v>195</v>
      </c>
      <c r="G68" t="s">
        <v>123</v>
      </c>
      <c r="H68" s="11"/>
      <c r="I68" s="5" t="s">
        <v>20</v>
      </c>
      <c r="Z68" s="53"/>
    </row>
    <row r="69" spans="2:27" x14ac:dyDescent="0.25">
      <c r="B69" s="8"/>
      <c r="C69" s="15"/>
      <c r="H69" s="11"/>
      <c r="I69" s="5" t="s">
        <v>20</v>
      </c>
      <c r="Z69" s="53"/>
    </row>
    <row r="70" spans="2:27" x14ac:dyDescent="0.25">
      <c r="B70" s="52" t="s">
        <v>99</v>
      </c>
      <c r="C70" s="34"/>
      <c r="D70" s="34"/>
      <c r="E70" s="34"/>
      <c r="F70" s="34"/>
      <c r="G70" s="34"/>
      <c r="H70" s="42"/>
      <c r="I70" s="5" t="s">
        <v>20</v>
      </c>
    </row>
    <row r="71" spans="2:27" ht="30.75" customHeight="1" x14ac:dyDescent="0.25">
      <c r="B71" s="60" t="s">
        <v>124</v>
      </c>
      <c r="C71" s="15" t="s">
        <v>131</v>
      </c>
      <c r="D71">
        <v>7.4</v>
      </c>
      <c r="E71">
        <f>29-24.4</f>
        <v>4.6000000000000014</v>
      </c>
      <c r="F71">
        <f>40-24.4</f>
        <v>15.600000000000001</v>
      </c>
      <c r="G71" s="38" t="s">
        <v>126</v>
      </c>
      <c r="H71" s="163"/>
      <c r="I71" s="97" t="s">
        <v>196</v>
      </c>
      <c r="Z71" s="110" t="s">
        <v>127</v>
      </c>
      <c r="AA71" s="22">
        <f>SUM(AA8:AA70)</f>
        <v>3371220948.4097867</v>
      </c>
    </row>
    <row r="72" spans="2:27" x14ac:dyDescent="0.25">
      <c r="B72" s="8"/>
      <c r="C72" s="15" t="s">
        <v>132</v>
      </c>
      <c r="D72">
        <f>D71*52</f>
        <v>384.8</v>
      </c>
      <c r="E72">
        <f t="shared" ref="E72:F72" si="2">E71*52</f>
        <v>239.20000000000007</v>
      </c>
      <c r="F72">
        <f t="shared" si="2"/>
        <v>811.2</v>
      </c>
      <c r="G72" s="38"/>
      <c r="H72" s="163"/>
      <c r="I72" s="97" t="s">
        <v>20</v>
      </c>
    </row>
    <row r="73" spans="2:27" x14ac:dyDescent="0.25">
      <c r="B73" s="8"/>
      <c r="C73" s="15" t="s">
        <v>197</v>
      </c>
      <c r="D73">
        <v>0.75</v>
      </c>
      <c r="G73" s="38" t="s">
        <v>198</v>
      </c>
      <c r="H73" s="11"/>
      <c r="I73" s="97" t="s">
        <v>199</v>
      </c>
    </row>
    <row r="74" spans="2:27" x14ac:dyDescent="0.25">
      <c r="B74" s="8"/>
      <c r="C74" s="15" t="s">
        <v>134</v>
      </c>
      <c r="D74">
        <v>850000</v>
      </c>
      <c r="G74" s="38" t="s">
        <v>135</v>
      </c>
      <c r="H74" s="11"/>
      <c r="I74" s="97"/>
    </row>
    <row r="75" spans="2:27" x14ac:dyDescent="0.25">
      <c r="B75" s="8"/>
      <c r="C75" s="15" t="s">
        <v>90</v>
      </c>
      <c r="D75">
        <v>22.49</v>
      </c>
      <c r="E75">
        <v>12.32</v>
      </c>
      <c r="F75">
        <v>27.05</v>
      </c>
      <c r="G75" s="38" t="s">
        <v>91</v>
      </c>
      <c r="H75" s="11"/>
      <c r="I75" s="97" t="s">
        <v>166</v>
      </c>
    </row>
    <row r="76" spans="2:27" x14ac:dyDescent="0.25">
      <c r="B76" s="8"/>
      <c r="C76" s="15" t="s">
        <v>200</v>
      </c>
      <c r="D76">
        <v>46606</v>
      </c>
      <c r="H76" s="11"/>
      <c r="I76" s="97"/>
    </row>
    <row r="77" spans="2:27" ht="27.95" customHeight="1" x14ac:dyDescent="0.25">
      <c r="B77" s="8"/>
      <c r="H77" s="163"/>
      <c r="I77" s="97"/>
    </row>
    <row r="78" spans="2:27" ht="30" x14ac:dyDescent="0.25">
      <c r="B78" s="106" t="s">
        <v>137</v>
      </c>
      <c r="C78" s="150" t="s">
        <v>138</v>
      </c>
      <c r="D78" s="40">
        <f>AVERAGE(D79, D81, D80)*1.69*12</f>
        <v>319.00440000000003</v>
      </c>
      <c r="E78" s="40">
        <f t="shared" ref="E78:F78" si="3">AVERAGE(E79, E81, E80)*1.69*12</f>
        <v>142.77119999999999</v>
      </c>
      <c r="F78" s="40">
        <f t="shared" si="3"/>
        <v>176.23319999999998</v>
      </c>
      <c r="H78" s="163"/>
      <c r="I78" s="97"/>
    </row>
    <row r="79" spans="2:27" x14ac:dyDescent="0.25">
      <c r="B79" s="8"/>
      <c r="C79" s="15" t="s">
        <v>201</v>
      </c>
      <c r="D79">
        <f>SUM(E79+F79)</f>
        <v>19.5</v>
      </c>
      <c r="E79">
        <v>8.85</v>
      </c>
      <c r="F79">
        <v>10.65</v>
      </c>
      <c r="G79" s="38" t="s">
        <v>140</v>
      </c>
      <c r="H79" s="163"/>
      <c r="I79" s="97"/>
    </row>
    <row r="80" spans="2:27" x14ac:dyDescent="0.25">
      <c r="B80" s="8"/>
      <c r="C80" s="15" t="s">
        <v>202</v>
      </c>
      <c r="D80" s="13">
        <f>SUM(E80+F80)</f>
        <v>9.99</v>
      </c>
      <c r="E80">
        <v>4.03</v>
      </c>
      <c r="F80">
        <v>5.96</v>
      </c>
      <c r="G80" s="38" t="s">
        <v>140</v>
      </c>
      <c r="H80" s="163"/>
      <c r="I80" s="97"/>
    </row>
    <row r="81" spans="2:9" x14ac:dyDescent="0.25">
      <c r="B81" s="8"/>
      <c r="C81" s="152" t="s">
        <v>203</v>
      </c>
      <c r="D81">
        <f>SUM(E81+F81)</f>
        <v>17.700000000000003</v>
      </c>
      <c r="E81">
        <v>8.24</v>
      </c>
      <c r="F81">
        <v>9.4600000000000009</v>
      </c>
      <c r="G81" s="38" t="s">
        <v>140</v>
      </c>
      <c r="H81" s="163"/>
      <c r="I81" s="97"/>
    </row>
    <row r="82" spans="2:9" x14ac:dyDescent="0.25">
      <c r="B82" s="8"/>
      <c r="C82" s="152"/>
      <c r="G82" s="38"/>
      <c r="H82" s="163"/>
      <c r="I82" s="97"/>
    </row>
    <row r="83" spans="2:9" x14ac:dyDescent="0.25">
      <c r="B83" s="108" t="s">
        <v>141</v>
      </c>
      <c r="C83" s="153"/>
      <c r="D83" s="154"/>
      <c r="E83" s="154"/>
      <c r="F83" s="154"/>
      <c r="G83" s="139"/>
      <c r="H83" s="107"/>
      <c r="I83" s="5" t="s">
        <v>20</v>
      </c>
    </row>
    <row r="84" spans="2:9" x14ac:dyDescent="0.25">
      <c r="B84" s="116" t="s">
        <v>142</v>
      </c>
      <c r="C84" s="117"/>
      <c r="D84" s="117"/>
      <c r="E84" s="117"/>
      <c r="F84" s="117"/>
      <c r="G84" s="117"/>
      <c r="H84" s="118"/>
      <c r="I84" s="5" t="s">
        <v>20</v>
      </c>
    </row>
    <row r="85" spans="2:9" ht="30" x14ac:dyDescent="0.25">
      <c r="B85" s="60" t="s">
        <v>204</v>
      </c>
      <c r="C85" s="6" t="s">
        <v>205</v>
      </c>
      <c r="D85" s="40">
        <v>1646.69</v>
      </c>
      <c r="H85" s="11"/>
      <c r="I85" s="5" t="s">
        <v>20</v>
      </c>
    </row>
    <row r="86" spans="2:9" x14ac:dyDescent="0.25">
      <c r="B86" s="60"/>
      <c r="C86" t="s">
        <v>206</v>
      </c>
      <c r="D86">
        <v>0.219</v>
      </c>
      <c r="E86">
        <v>0.13500000000000001</v>
      </c>
      <c r="F86">
        <v>0.33600000000000002</v>
      </c>
      <c r="G86" s="38" t="s">
        <v>207</v>
      </c>
      <c r="H86" s="11"/>
      <c r="I86" s="5" t="s">
        <v>20</v>
      </c>
    </row>
    <row r="87" spans="2:9" x14ac:dyDescent="0.25">
      <c r="B87" s="60"/>
      <c r="G87" s="38"/>
      <c r="H87" s="11"/>
      <c r="I87" s="5" t="s">
        <v>20</v>
      </c>
    </row>
    <row r="88" spans="2:9" ht="30" x14ac:dyDescent="0.25">
      <c r="B88" s="60" t="s">
        <v>208</v>
      </c>
      <c r="C88" s="6" t="s">
        <v>209</v>
      </c>
      <c r="D88" s="40">
        <f>D85*1.7</f>
        <v>2799.373</v>
      </c>
      <c r="E88" s="22">
        <f>D85*1.1</f>
        <v>1811.3590000000002</v>
      </c>
      <c r="F88" s="22">
        <f>D85*2.1</f>
        <v>3458.0490000000004</v>
      </c>
      <c r="G88" s="38" t="s">
        <v>147</v>
      </c>
      <c r="H88" s="163"/>
      <c r="I88" s="5" t="s">
        <v>20</v>
      </c>
    </row>
    <row r="89" spans="2:9" ht="15.75" thickBot="1" x14ac:dyDescent="0.3">
      <c r="B89" s="20"/>
      <c r="C89" s="21" t="s">
        <v>210</v>
      </c>
      <c r="D89" s="21">
        <v>0.51700000000000002</v>
      </c>
      <c r="E89" s="21">
        <v>0.38400000000000001</v>
      </c>
      <c r="F89" s="21">
        <v>0.64700000000000002</v>
      </c>
      <c r="G89" s="140" t="s">
        <v>211</v>
      </c>
      <c r="H89" s="165"/>
      <c r="I89" s="5" t="s">
        <v>20</v>
      </c>
    </row>
    <row r="90" spans="2:9" x14ac:dyDescent="0.25">
      <c r="I90" s="5" t="s">
        <v>20</v>
      </c>
    </row>
    <row r="93" spans="2:9" x14ac:dyDescent="0.25">
      <c r="C93" t="s">
        <v>151</v>
      </c>
    </row>
    <row r="97" spans="10:10" x14ac:dyDescent="0.25">
      <c r="J97" s="27"/>
    </row>
  </sheetData>
  <mergeCells count="3">
    <mergeCell ref="B2:G3"/>
    <mergeCell ref="F12:G12"/>
    <mergeCell ref="J2:AB3"/>
  </mergeCells>
  <hyperlinks>
    <hyperlink ref="G22" r:id="rId1" display="https://www.nationalhomeless.org/factsheets/Mental_Illness.pdf;  " xr:uid="{F2BE8C4E-11FD-4D5A-8116-12C5A5E9B99C}"/>
    <hyperlink ref="G24" r:id="rId2" xr:uid="{F5F6720D-6A3D-481F-8ACA-16E59348D12F}"/>
    <hyperlink ref="G13" r:id="rId3" xr:uid="{0DD52C76-6B90-4B16-8E23-684019F30973}"/>
    <hyperlink ref="G17" r:id="rId4" xr:uid="{E810B8A3-4504-4A13-80DC-300273E8E5E3}"/>
    <hyperlink ref="G15" r:id="rId5" xr:uid="{D126667E-073A-4492-8216-825DFFD506EF}"/>
    <hyperlink ref="G18" r:id="rId6" xr:uid="{2641ED8A-0BE8-4897-920D-FAE677C3937C}"/>
    <hyperlink ref="G14" r:id="rId7" xr:uid="{736A6C04-2AD2-499B-A0A7-41192118069F}"/>
    <hyperlink ref="G19" r:id="rId8" display="https://bjs.ojp.gov/content/pub/pdf/tssp18.pdf" xr:uid="{511C3BEB-8771-4097-AC4F-3D0A2337D655}"/>
    <hyperlink ref="AB8" r:id="rId9" xr:uid="{388CF184-2C52-4D8F-91D2-0F510FA33D31}"/>
    <hyperlink ref="AB12" r:id="rId10" display="https://nicic.gov/state-statistics/2019/indiana-2019" xr:uid="{982C8916-317B-40B6-A233-5F3DE4B24AF2}"/>
    <hyperlink ref="AB17" r:id="rId11" xr:uid="{A88F1536-DBC1-4492-BB07-4001E2948CDE}"/>
    <hyperlink ref="G56" r:id="rId12" xr:uid="{4CF5ED08-C0E4-441D-86E5-D777BBB09297}"/>
    <hyperlink ref="G57" r:id="rId13" xr:uid="{C952E43D-5A8C-4C5D-9E43-5E573F658C57}"/>
    <hyperlink ref="G75" r:id="rId14" display="https://www.bls.gov/oes/2019/may/oes_in.htm" xr:uid="{12EB4832-E6F1-442D-8769-2C7B7D5CA0F8}"/>
    <hyperlink ref="G73" r:id="rId15" xr:uid="{CF5FEB28-CC8E-4BF1-B4F3-384F423E3ADB}"/>
    <hyperlink ref="G71" r:id="rId16" xr:uid="{0507274D-9505-4811-9F34-4449A43B21E8}"/>
    <hyperlink ref="G74" r:id="rId17" xr:uid="{809F8751-3EED-4F2E-AE78-E15854149996}"/>
    <hyperlink ref="G79" r:id="rId18" xr:uid="{AC06A448-6088-4E89-803F-A2C2B031FB8D}"/>
    <hyperlink ref="G80" r:id="rId19" xr:uid="{9414459A-FE27-4C6A-95A8-1FD7BCD29F44}"/>
    <hyperlink ref="G81" r:id="rId20" xr:uid="{BA67C9BA-1143-44E2-8C50-2BF0B2CD2A55}"/>
    <hyperlink ref="G41" r:id="rId21" xr:uid="{B3940EC4-772F-4E22-90D2-8684C4F56DD7}"/>
    <hyperlink ref="G42" r:id="rId22" display="https://pubmed.ncbi.nlm.nih.gov/12813119/" xr:uid="{6F15A6E3-B31B-4021-8D39-A6C93FB8ACC6}"/>
    <hyperlink ref="G49" r:id="rId23" display="https://pubmed.ncbi.nlm.nih.gov/12813119/" xr:uid="{05D5F282-4C5E-4E00-BF5F-3814D2D6C483}"/>
    <hyperlink ref="G40" r:id="rId24" display="https://www.bls.gov/oes/2019/may/oes_in.htm" xr:uid="{428C42C3-9DBA-4CB7-B307-1D7776EC3156}"/>
    <hyperlink ref="G39" r:id="rId25" xr:uid="{BC884496-4F78-419F-A001-59331A5996FC}"/>
    <hyperlink ref="AB27" r:id="rId26" xr:uid="{3C7A84C4-A12A-4FA2-9894-45105294A617}"/>
    <hyperlink ref="G32" r:id="rId27" xr:uid="{4B62B490-04C5-4CD1-8C75-D290B0A0F7A6}"/>
    <hyperlink ref="G64" r:id="rId28" xr:uid="{40D31C97-2653-4505-80B0-F847BC33CDD4}"/>
    <hyperlink ref="G31" r:id="rId29" xr:uid="{D70A9EE7-CEBD-43B8-9106-051DE2E7DB3E}"/>
    <hyperlink ref="G30" r:id="rId30" location="/ " xr:uid="{D57D301E-77B1-4301-AE33-729611949878}"/>
    <hyperlink ref="G61" r:id="rId31" location=":~:text=Results%3A%20Almost%2011%25%20of%20the,and%20unnatural%20causes%20for%2014%25" xr:uid="{04C92966-84BE-406A-8241-910F31D9EA5E}"/>
    <hyperlink ref="G86" r:id="rId32" location="/survey/NSDUH-2018-2019-RD02YR?column=SMIYR_U&amp;control=STATE&amp;filter=STATE%3D18&amp;results_received=true&amp;row=CAIDCHIP&amp;run_chisq=false&amp;weight=DASWT_1 " xr:uid="{68592225-1368-49FA-A88C-ADA54C994820}"/>
    <hyperlink ref="G89" r:id="rId33" location="/survey/NSDUH-2018-2019-RD02YR?column=SMIYR_U&amp;control=STATE&amp;filter=STATE%3D18&amp;results_received=true&amp;row=PRVHLTIN&amp;run_chisq=false&amp;weight=DASWT_1 " xr:uid="{F915FB3A-8EB8-4575-B9B4-F7302CF6BD08}"/>
    <hyperlink ref="G7" r:id="rId34" location="/ " xr:uid="{3B5C44A9-1338-4EE4-8CB2-09CF703F1984}"/>
    <hyperlink ref="G6" r:id="rId35" location="/ " xr:uid="{EC873F17-2D9E-456F-AF52-CE5E3B35E00B}"/>
    <hyperlink ref="G58" r:id="rId36" xr:uid="{3541C2BD-42D4-45A4-AB2B-84017C6EC99E}"/>
    <hyperlink ref="G62" r:id="rId37" xr:uid="{95EF9467-470B-41DD-9322-C46AA14E2CD9}"/>
    <hyperlink ref="G26" r:id="rId38" location=":~:text=Chronic%20homelessness%20is%20used%20to,use%20disorder%2C%20or%20physical%20disability. " xr:uid="{6DA42E8F-D6AB-4ECB-95E1-3FD384C9222A}"/>
    <hyperlink ref="G23" r:id="rId39" xr:uid="{9EE659B4-F9BF-486E-85AD-C1A04AE5DEA7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c5704fc-4069-4773-9bf0-9e5ffbfe770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D240C54DEA2F4A8F79CC0965DEEE93" ma:contentTypeVersion="15" ma:contentTypeDescription="Create a new document." ma:contentTypeScope="" ma:versionID="3fde01a3647b32b9a5f1f97006a07134">
  <xsd:schema xmlns:xsd="http://www.w3.org/2001/XMLSchema" xmlns:xs="http://www.w3.org/2001/XMLSchema" xmlns:p="http://schemas.microsoft.com/office/2006/metadata/properties" xmlns:ns3="8158f989-7573-4698-91e5-de57e0979b6f" xmlns:ns4="0c5704fc-4069-4773-9bf0-9e5ffbfe7703" targetNamespace="http://schemas.microsoft.com/office/2006/metadata/properties" ma:root="true" ma:fieldsID="f81c8d618af42e11c0fbafbb1be8352f" ns3:_="" ns4:_="">
    <xsd:import namespace="8158f989-7573-4698-91e5-de57e0979b6f"/>
    <xsd:import namespace="0c5704fc-4069-4773-9bf0-9e5ffbfe770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LengthInSeconds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58f989-7573-4698-91e5-de57e09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5704fc-4069-4773-9bf0-9e5ffbfe77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A3AD90E-0E7A-4856-8A97-61379D7C3B23}">
  <ds:schemaRefs>
    <ds:schemaRef ds:uri="http://schemas.microsoft.com/office/2006/metadata/properties"/>
    <ds:schemaRef ds:uri="http://schemas.microsoft.com/office/infopath/2007/PartnerControls"/>
    <ds:schemaRef ds:uri="0c5704fc-4069-4773-9bf0-9e5ffbfe7703"/>
  </ds:schemaRefs>
</ds:datastoreItem>
</file>

<file path=customXml/itemProps2.xml><?xml version="1.0" encoding="utf-8"?>
<ds:datastoreItem xmlns:ds="http://schemas.openxmlformats.org/officeDocument/2006/customXml" ds:itemID="{C5807600-6FF9-4649-9A1F-A8A6296E1B3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DF51A1-91DE-49C1-9925-2FB43E4DF6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58f989-7573-4698-91e5-de57e0979b6f"/>
    <ds:schemaRef ds:uri="0c5704fc-4069-4773-9bf0-9e5ffbfe77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Other MI</vt:lpstr>
      <vt:lpstr>SMI</vt:lpstr>
      <vt:lpstr>Children</vt:lpstr>
      <vt:lpstr>Totals</vt:lpstr>
      <vt:lpstr>OtherMI (LB)</vt:lpstr>
      <vt:lpstr>SMI (LB)</vt:lpstr>
      <vt:lpstr>Children (LB)</vt:lpstr>
      <vt:lpstr>OtherMI (UB)</vt:lpstr>
      <vt:lpstr>SMI (UB)</vt:lpstr>
      <vt:lpstr>Children (UB)</vt:lpstr>
      <vt:lpstr>All totals + uncertainty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 Taylor</dc:creator>
  <cp:keywords/>
  <dc:description/>
  <cp:lastModifiedBy>Heather Taylor</cp:lastModifiedBy>
  <cp:revision/>
  <cp:lastPrinted>2023-06-16T14:50:35Z</cp:lastPrinted>
  <dcterms:created xsi:type="dcterms:W3CDTF">2022-02-19T03:24:19Z</dcterms:created>
  <dcterms:modified xsi:type="dcterms:W3CDTF">2023-06-16T18:15:47Z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0x01010066D240C54DEA2F4A8F79CC0965DEEE93</vt:lpwstr>
  </property>
</Properties>
</file>