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defaultThemeVersion="166925"/>
  <mc:AlternateContent xmlns:mc="http://schemas.openxmlformats.org/markup-compatibility/2006">
    <mc:Choice Requires="x15">
      <x15ac:absPath xmlns:x15ac="http://schemas.microsoft.com/office/spreadsheetml/2010/11/ac" url="https://indiana-my.sharepoint.com/personal/macyk_iu_edu/Documents/"/>
    </mc:Choice>
  </mc:AlternateContent>
  <xr:revisionPtr revIDLastSave="648" documentId="8_{91FD6FBF-F470-4519-8CA7-7CCB3BD80713}" xr6:coauthVersionLast="47" xr6:coauthVersionMax="47" xr10:uidLastSave="{99342071-12E0-4C61-85D3-278B71A6982C}"/>
  <bookViews>
    <workbookView xWindow="28680" yWindow="-120" windowWidth="29040" windowHeight="15840" xr2:uid="{4F1ACFFE-97FA-45CF-A6FE-D43C4771BD94}"/>
  </bookViews>
  <sheets>
    <sheet name="READ ME" sheetId="10" r:id="rId1"/>
    <sheet name="Elsevier 2014-2020" sheetId="6" r:id="rId2"/>
    <sheet name="Wiley 2015-2021" sheetId="7" r:id="rId3"/>
    <sheet name="ACS 2014-2020" sheetId="9"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0" i="7" l="1"/>
  <c r="C12" i="7" s="1"/>
  <c r="D10" i="7"/>
  <c r="D12" i="7" s="1"/>
  <c r="D7" i="7"/>
  <c r="B7" i="6"/>
  <c r="C7" i="6"/>
  <c r="D10" i="6"/>
  <c r="E10" i="6"/>
  <c r="E8" i="6"/>
  <c r="F10" i="6"/>
  <c r="G10" i="6"/>
  <c r="H10" i="6"/>
  <c r="G8" i="6"/>
  <c r="F8" i="6"/>
  <c r="D8" i="6"/>
  <c r="H8" i="6"/>
  <c r="K3" i="6"/>
  <c r="C5" i="7"/>
  <c r="C6" i="7" s="1"/>
  <c r="C7" i="7"/>
  <c r="C17" i="7"/>
  <c r="C19" i="7"/>
  <c r="C8" i="7" l="1"/>
  <c r="C9" i="7" l="1"/>
  <c r="E7" i="7"/>
  <c r="E8" i="7" s="1"/>
  <c r="E10" i="7" s="1"/>
  <c r="F7" i="7"/>
  <c r="F8" i="7" s="1"/>
  <c r="F10" i="7" s="1"/>
  <c r="G7" i="7"/>
  <c r="H7" i="7"/>
  <c r="H8" i="7" s="1"/>
  <c r="H10" i="7" s="1"/>
  <c r="G8" i="7"/>
  <c r="G10" i="7" s="1"/>
  <c r="I7" i="7"/>
  <c r="I8" i="7" s="1"/>
  <c r="I10" i="7" s="1"/>
  <c r="I5" i="7"/>
  <c r="F5" i="7"/>
  <c r="F6" i="7" s="1"/>
  <c r="I10" i="9"/>
  <c r="I12" i="9"/>
  <c r="I13" i="9"/>
  <c r="F19" i="7"/>
  <c r="E19" i="7"/>
  <c r="D19" i="7"/>
  <c r="G24" i="7"/>
  <c r="G22" i="7"/>
  <c r="G26" i="7" s="1"/>
  <c r="H19" i="7"/>
  <c r="G19" i="7"/>
  <c r="I19" i="7"/>
  <c r="J16" i="7"/>
  <c r="K16" i="7"/>
  <c r="L16" i="7"/>
  <c r="M16" i="7"/>
  <c r="N16" i="7"/>
  <c r="O16" i="7"/>
  <c r="D5" i="7"/>
  <c r="D6" i="7" s="1"/>
  <c r="E5" i="7"/>
  <c r="E6" i="7" s="1"/>
  <c r="G5" i="7"/>
  <c r="G6" i="7" s="1"/>
  <c r="H5" i="7"/>
  <c r="H6" i="7" s="1"/>
  <c r="D9" i="9"/>
  <c r="C9" i="9"/>
  <c r="C10" i="9" s="1"/>
  <c r="O10" i="9" s="1"/>
  <c r="D4" i="9"/>
  <c r="C4" i="9"/>
  <c r="E9" i="9"/>
  <c r="E10" i="9" s="1"/>
  <c r="F9" i="9"/>
  <c r="F10" i="9" s="1"/>
  <c r="F12" i="9" s="1"/>
  <c r="D6" i="9"/>
  <c r="D7" i="9" s="1"/>
  <c r="C6" i="9"/>
  <c r="C7" i="9" s="1"/>
  <c r="F6" i="9"/>
  <c r="E6" i="9"/>
  <c r="E4" i="9"/>
  <c r="E5" i="9"/>
  <c r="F5" i="9"/>
  <c r="F4" i="9"/>
  <c r="K4" i="9"/>
  <c r="G7" i="9"/>
  <c r="G6" i="9"/>
  <c r="G13" i="9"/>
  <c r="G16" i="9" s="1"/>
  <c r="G12" i="9"/>
  <c r="M12" i="9" s="1"/>
  <c r="I16" i="9"/>
  <c r="H16" i="9"/>
  <c r="G10" i="9"/>
  <c r="D10" i="9"/>
  <c r="L10" i="9" s="1"/>
  <c r="F7" i="9"/>
  <c r="I6" i="9"/>
  <c r="H6" i="9"/>
  <c r="G5" i="9"/>
  <c r="G4" i="9" s="1"/>
  <c r="M4" i="9" s="1"/>
  <c r="H4" i="9"/>
  <c r="I4" i="9"/>
  <c r="L4" i="9" s="1"/>
  <c r="M24" i="9"/>
  <c r="J24" i="9"/>
  <c r="M23" i="9"/>
  <c r="J23" i="9"/>
  <c r="M22" i="9"/>
  <c r="J22" i="9"/>
  <c r="M21" i="9"/>
  <c r="J21" i="9"/>
  <c r="M20" i="9"/>
  <c r="J20" i="9"/>
  <c r="M19" i="9"/>
  <c r="J19" i="9"/>
  <c r="J13" i="9"/>
  <c r="J12" i="9"/>
  <c r="O11" i="9"/>
  <c r="N11" i="9"/>
  <c r="M11" i="9"/>
  <c r="L11" i="9"/>
  <c r="K11" i="9"/>
  <c r="J11" i="9"/>
  <c r="M10" i="9"/>
  <c r="J10" i="9"/>
  <c r="N9" i="9"/>
  <c r="M9" i="9"/>
  <c r="L9" i="9"/>
  <c r="J9" i="9"/>
  <c r="J4" i="9"/>
  <c r="N4" i="9"/>
  <c r="O4" i="9"/>
  <c r="J5" i="9"/>
  <c r="K5" i="9"/>
  <c r="L5" i="9"/>
  <c r="M5" i="9"/>
  <c r="O5" i="9"/>
  <c r="M6" i="9"/>
  <c r="O3" i="9"/>
  <c r="N3" i="9"/>
  <c r="M3" i="9"/>
  <c r="L3" i="9"/>
  <c r="K3" i="9"/>
  <c r="J3" i="9"/>
  <c r="I5" i="9"/>
  <c r="H5" i="9"/>
  <c r="I3" i="9"/>
  <c r="H10" i="9"/>
  <c r="H7" i="9"/>
  <c r="J4" i="7"/>
  <c r="K4" i="7"/>
  <c r="L4" i="7"/>
  <c r="M4" i="7"/>
  <c r="N4" i="7"/>
  <c r="O4" i="7"/>
  <c r="J15" i="7"/>
  <c r="K15" i="7"/>
  <c r="L15" i="7"/>
  <c r="M15" i="7"/>
  <c r="N15" i="7"/>
  <c r="O15" i="7"/>
  <c r="J20" i="7"/>
  <c r="K20" i="7"/>
  <c r="L20" i="7"/>
  <c r="M20" i="7"/>
  <c r="N20" i="7"/>
  <c r="O20" i="7"/>
  <c r="O3" i="7"/>
  <c r="N3" i="7"/>
  <c r="M3" i="7"/>
  <c r="L3" i="7"/>
  <c r="K3" i="7"/>
  <c r="J3" i="7"/>
  <c r="E22" i="7"/>
  <c r="E24" i="7" s="1"/>
  <c r="D17" i="7"/>
  <c r="E17" i="7"/>
  <c r="F17" i="7"/>
  <c r="G17" i="7"/>
  <c r="H17" i="7"/>
  <c r="I17" i="7"/>
  <c r="H20" i="6"/>
  <c r="I20" i="6" s="1"/>
  <c r="G20" i="6"/>
  <c r="G21" i="6" s="1"/>
  <c r="F20" i="6"/>
  <c r="F21" i="6" s="1"/>
  <c r="F22" i="6" s="1"/>
  <c r="E20" i="6"/>
  <c r="E21" i="6" s="1"/>
  <c r="E22" i="6" s="1"/>
  <c r="D20" i="6"/>
  <c r="D21" i="6" s="1"/>
  <c r="D22" i="6" s="1"/>
  <c r="N24" i="6"/>
  <c r="M24" i="6"/>
  <c r="L24" i="6"/>
  <c r="K24" i="6"/>
  <c r="J24" i="6"/>
  <c r="I24" i="6"/>
  <c r="N20" i="6"/>
  <c r="C21" i="6"/>
  <c r="B21" i="6"/>
  <c r="B22" i="6" s="1"/>
  <c r="N18" i="6"/>
  <c r="M18" i="6"/>
  <c r="L18" i="6"/>
  <c r="K18" i="6"/>
  <c r="J18" i="6"/>
  <c r="I18" i="6"/>
  <c r="C19" i="6"/>
  <c r="D19" i="6"/>
  <c r="E19" i="6"/>
  <c r="F19" i="6"/>
  <c r="G19" i="6"/>
  <c r="H19" i="6"/>
  <c r="B19" i="6"/>
  <c r="C16" i="6"/>
  <c r="D16" i="6"/>
  <c r="E16" i="6"/>
  <c r="F16" i="6"/>
  <c r="G16" i="6"/>
  <c r="H16" i="6"/>
  <c r="B16" i="6"/>
  <c r="N15" i="6"/>
  <c r="M15" i="6"/>
  <c r="L15" i="6"/>
  <c r="K15" i="6"/>
  <c r="J15" i="6"/>
  <c r="I15" i="6"/>
  <c r="N4" i="6"/>
  <c r="N3" i="6"/>
  <c r="M4" i="6"/>
  <c r="M3" i="6"/>
  <c r="K4" i="6"/>
  <c r="J4" i="6"/>
  <c r="J3" i="6"/>
  <c r="L4" i="6"/>
  <c r="L3" i="6"/>
  <c r="I4" i="6"/>
  <c r="I3" i="6"/>
  <c r="E11" i="6"/>
  <c r="C5" i="6"/>
  <c r="C6" i="6" s="1"/>
  <c r="D5" i="6"/>
  <c r="E5" i="6"/>
  <c r="F5" i="6"/>
  <c r="G5" i="6"/>
  <c r="H5" i="6"/>
  <c r="H6" i="6" s="1"/>
  <c r="B5" i="6"/>
  <c r="B6" i="6" s="1"/>
  <c r="G28" i="7" l="1"/>
  <c r="C11" i="7"/>
  <c r="J17" i="7"/>
  <c r="E9" i="7"/>
  <c r="K7" i="7"/>
  <c r="M17" i="7"/>
  <c r="M5" i="7"/>
  <c r="E26" i="7"/>
  <c r="L17" i="7"/>
  <c r="E28" i="7"/>
  <c r="O17" i="7"/>
  <c r="K17" i="7"/>
  <c r="L7" i="7"/>
  <c r="N17" i="7"/>
  <c r="N5" i="7"/>
  <c r="M7" i="7"/>
  <c r="N7" i="7"/>
  <c r="O7" i="7"/>
  <c r="J7" i="7"/>
  <c r="O5" i="7"/>
  <c r="D8" i="7"/>
  <c r="L5" i="7"/>
  <c r="J5" i="7"/>
  <c r="K5" i="7"/>
  <c r="I6" i="7"/>
  <c r="O9" i="9"/>
  <c r="D12" i="9"/>
  <c r="C12" i="9"/>
  <c r="K9" i="9"/>
  <c r="K10" i="9"/>
  <c r="E7" i="9"/>
  <c r="N5" i="9"/>
  <c r="E12" i="9"/>
  <c r="N12" i="9" s="1"/>
  <c r="N10" i="9"/>
  <c r="K12" i="9"/>
  <c r="F13" i="9"/>
  <c r="M13" i="9"/>
  <c r="G15" i="9"/>
  <c r="G14" i="9"/>
  <c r="O6" i="9"/>
  <c r="N6" i="9"/>
  <c r="H12" i="9"/>
  <c r="H13" i="9" s="1"/>
  <c r="J10" i="6"/>
  <c r="L20" i="6"/>
  <c r="K7" i="6"/>
  <c r="C11" i="6"/>
  <c r="M7" i="6"/>
  <c r="H21" i="6"/>
  <c r="H22" i="6" s="1"/>
  <c r="K20" i="6"/>
  <c r="J7" i="6"/>
  <c r="L7" i="6"/>
  <c r="N7" i="6"/>
  <c r="I7" i="6"/>
  <c r="J20" i="6"/>
  <c r="E9" i="6"/>
  <c r="M20" i="6"/>
  <c r="C23" i="6"/>
  <c r="M21" i="6"/>
  <c r="N21" i="6"/>
  <c r="L21" i="6"/>
  <c r="C22" i="6"/>
  <c r="F6" i="6"/>
  <c r="B23" i="6"/>
  <c r="G22" i="6"/>
  <c r="E23" i="6"/>
  <c r="J5" i="6"/>
  <c r="N5" i="6"/>
  <c r="E6" i="6"/>
  <c r="B9" i="6"/>
  <c r="D6" i="6"/>
  <c r="K5" i="6"/>
  <c r="I5" i="6"/>
  <c r="M5" i="6"/>
  <c r="C9" i="6"/>
  <c r="G6" i="6"/>
  <c r="L5" i="6"/>
  <c r="M8" i="7" l="1"/>
  <c r="D9" i="7"/>
  <c r="F9" i="7"/>
  <c r="N8" i="7"/>
  <c r="H9" i="7"/>
  <c r="I11" i="7"/>
  <c r="G9" i="7"/>
  <c r="O8" i="7"/>
  <c r="I9" i="7"/>
  <c r="L8" i="7"/>
  <c r="K8" i="7"/>
  <c r="J8" i="7"/>
  <c r="L12" i="9"/>
  <c r="D13" i="9"/>
  <c r="O12" i="9"/>
  <c r="C13" i="9"/>
  <c r="E13" i="9"/>
  <c r="E16" i="9" s="1"/>
  <c r="E14" i="9"/>
  <c r="N13" i="9"/>
  <c r="E15" i="9"/>
  <c r="F16" i="9"/>
  <c r="F15" i="9"/>
  <c r="F14" i="9"/>
  <c r="K13" i="9"/>
  <c r="I7" i="9"/>
  <c r="K6" i="9"/>
  <c r="L6" i="9"/>
  <c r="J6" i="9"/>
  <c r="I14" i="9"/>
  <c r="I15" i="9"/>
  <c r="H14" i="9"/>
  <c r="H15" i="9"/>
  <c r="K10" i="6"/>
  <c r="H11" i="6"/>
  <c r="H9" i="6"/>
  <c r="F9" i="6"/>
  <c r="D11" i="6"/>
  <c r="N10" i="6"/>
  <c r="B11" i="6"/>
  <c r="H23" i="6"/>
  <c r="K21" i="6"/>
  <c r="I21" i="6"/>
  <c r="J21" i="6"/>
  <c r="G23" i="6"/>
  <c r="G11" i="6"/>
  <c r="I10" i="6"/>
  <c r="D23" i="6"/>
  <c r="D9" i="6"/>
  <c r="M10" i="6"/>
  <c r="I8" i="6"/>
  <c r="J8" i="6"/>
  <c r="M8" i="6"/>
  <c r="L8" i="6"/>
  <c r="G9" i="6"/>
  <c r="N8" i="6"/>
  <c r="K8" i="6"/>
  <c r="D11" i="7" l="1"/>
  <c r="L10" i="7"/>
  <c r="E11" i="7"/>
  <c r="F11" i="7"/>
  <c r="K10" i="7"/>
  <c r="G11" i="7"/>
  <c r="M10" i="7"/>
  <c r="N10" i="7"/>
  <c r="O10" i="7"/>
  <c r="H11" i="7"/>
  <c r="J10" i="7"/>
  <c r="D16" i="9"/>
  <c r="L13" i="9"/>
  <c r="D15" i="9"/>
  <c r="D14" i="9"/>
  <c r="C14" i="9"/>
  <c r="O13" i="9"/>
  <c r="C15" i="9"/>
  <c r="C16" i="9"/>
  <c r="F11" i="6"/>
  <c r="F23" i="6"/>
  <c r="L10" i="6"/>
  <c r="F22" i="7"/>
  <c r="F28" i="7" s="1"/>
  <c r="F26" i="7" l="1"/>
  <c r="F24"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Macy, Katharine</author>
  </authors>
  <commentList>
    <comment ref="E4" authorId="0" shapeId="0" xr:uid="{7FC87057-0ADB-4B54-AB3E-97C7BB4015DD}">
      <text>
        <r>
          <rPr>
            <b/>
            <sz val="9"/>
            <color indexed="81"/>
            <rFont val="Tahoma"/>
            <charset val="1"/>
          </rPr>
          <t>Macy, Katharine:</t>
        </r>
        <r>
          <rPr>
            <sz val="9"/>
            <color indexed="81"/>
            <rFont val="Tahoma"/>
            <charset val="1"/>
          </rPr>
          <t xml:space="preserve">
Cost of Revenue - Advertising Expense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Macy, Katharine</author>
  </authors>
  <commentList>
    <comment ref="A6" authorId="0" shapeId="0" xr:uid="{A2BCB793-09D0-4B41-9A92-5898A3E7C8D0}">
      <text>
        <r>
          <rPr>
            <b/>
            <sz val="9"/>
            <color indexed="81"/>
            <rFont val="Tahoma"/>
            <family val="2"/>
          </rPr>
          <t>Macy, Katharine:</t>
        </r>
        <r>
          <rPr>
            <sz val="9"/>
            <color indexed="81"/>
            <rFont val="Tahoma"/>
            <family val="2"/>
          </rPr>
          <t xml:space="preserve">
Net change in Assets within consolidated statements because as a non-profit they cannot make a profit.</t>
        </r>
      </text>
    </comment>
    <comment ref="A13" authorId="0" shapeId="0" xr:uid="{71ADE585-B8FA-4C0F-8E1D-862DC1AC230A}">
      <text>
        <r>
          <rPr>
            <b/>
            <sz val="9"/>
            <color indexed="81"/>
            <rFont val="Tahoma"/>
            <family val="2"/>
          </rPr>
          <t>Macy, Katharine:</t>
        </r>
        <r>
          <rPr>
            <sz val="9"/>
            <color indexed="81"/>
            <rFont val="Tahoma"/>
            <family val="2"/>
          </rPr>
          <t xml:space="preserve">
Net change in Assets within consolidated statements because as a non-profit they cannot make a profit.</t>
        </r>
      </text>
    </comment>
  </commentList>
</comments>
</file>

<file path=xl/sharedStrings.xml><?xml version="1.0" encoding="utf-8"?>
<sst xmlns="http://schemas.openxmlformats.org/spreadsheetml/2006/main" count="140" uniqueCount="95">
  <si>
    <t>Gross Profit</t>
  </si>
  <si>
    <t>EBITDA</t>
  </si>
  <si>
    <t>EBIT</t>
  </si>
  <si>
    <t>Gross Margin</t>
  </si>
  <si>
    <t>Operating Margin</t>
  </si>
  <si>
    <t>Depreciation Expense</t>
  </si>
  <si>
    <t xml:space="preserve">      Licensing, Reprints, Backfiles and Other</t>
  </si>
  <si>
    <t xml:space="preserve">      Open Access</t>
  </si>
  <si>
    <t xml:space="preserve">      Journal Subscriptions</t>
  </si>
  <si>
    <t>Net Revenue</t>
  </si>
  <si>
    <t>FY2014</t>
  </si>
  <si>
    <t>FY2015</t>
  </si>
  <si>
    <t>FY2016</t>
  </si>
  <si>
    <t>FY2017</t>
  </si>
  <si>
    <t>FY2018</t>
  </si>
  <si>
    <t>FY2019</t>
  </si>
  <si>
    <t>FY2020</t>
  </si>
  <si>
    <t>-COGS</t>
  </si>
  <si>
    <t>Millions GBP</t>
  </si>
  <si>
    <t>EBITDA Margin</t>
  </si>
  <si>
    <t>YOY</t>
  </si>
  <si>
    <t>3-Year</t>
  </si>
  <si>
    <t>5-Year</t>
  </si>
  <si>
    <t>2020 Average Annual Growth Rate</t>
  </si>
  <si>
    <t>2019 Average Annual Growth Rate</t>
  </si>
  <si>
    <t>-Operating Expenses</t>
  </si>
  <si>
    <t>% of Total RLX Net Revenue</t>
  </si>
  <si>
    <t>Scientific, Technical, &amp; Medical</t>
  </si>
  <si>
    <t>Total RELX Adjusted Operating Income</t>
  </si>
  <si>
    <t>STM Operating Income</t>
  </si>
  <si>
    <t>% RELX Operating Income</t>
  </si>
  <si>
    <t>Depreciations &amp; Amortization Expense</t>
  </si>
  <si>
    <t>Est. EBITDA</t>
  </si>
  <si>
    <t>Est EBITDA Margin</t>
  </si>
  <si>
    <t>% RLX EBITDA</t>
  </si>
  <si>
    <t># of Employees</t>
  </si>
  <si>
    <t>% RLX Employees</t>
  </si>
  <si>
    <t>FY2021</t>
  </si>
  <si>
    <t>% of Total JW Net Revenue</t>
  </si>
  <si>
    <t>Research Publishing/Journals</t>
  </si>
  <si>
    <t>Research Publishing &amp; Platforms</t>
  </si>
  <si>
    <t>Revenue Data on Journal Publishing</t>
  </si>
  <si>
    <t>Research Publishing &amp; Platform Operating Margin</t>
  </si>
  <si>
    <t>%  Operating Margin</t>
  </si>
  <si>
    <t>% Journal Publishing</t>
  </si>
  <si>
    <t>2021 Average Annual Growth Rate</t>
  </si>
  <si>
    <t>Fiscal Year Runs May 1 - April 30</t>
  </si>
  <si>
    <t>In Millions USD</t>
  </si>
  <si>
    <t>Fiscal Year Runs Jan 1 - Dec 31</t>
  </si>
  <si>
    <t>Total Operating Revenues</t>
  </si>
  <si>
    <t>Compensation and Benefits</t>
  </si>
  <si>
    <t>Professional Services</t>
  </si>
  <si>
    <t>Materials and Supplies</t>
  </si>
  <si>
    <t>Grants and Assistance</t>
  </si>
  <si>
    <t>Other Operating Expenses</t>
  </si>
  <si>
    <t>Total Support Activities (HR, Finance, IT, Marketing)</t>
  </si>
  <si>
    <t>Operating Profit (EBIT)</t>
  </si>
  <si>
    <t>Electronic and Other Information Services (EOIS)</t>
  </si>
  <si>
    <t>% of ACS Operating Revenues</t>
  </si>
  <si>
    <t>Total Operating Expenses Not Including Support Activities</t>
  </si>
  <si>
    <t>EOIS Operating Expenses Not including Support Activities</t>
  </si>
  <si>
    <t>Estimated Support Activities to EOIS</t>
  </si>
  <si>
    <t>EOIS Operating Profit (EBIT)</t>
  </si>
  <si>
    <t>In Mil USD</t>
  </si>
  <si>
    <t>Operating Profit Margin</t>
  </si>
  <si>
    <t>EOIS Operating Margin</t>
  </si>
  <si>
    <t>% of ACS Operating Margin</t>
  </si>
  <si>
    <t>Diff in Operating Margin</t>
  </si>
  <si>
    <t>Notes</t>
  </si>
  <si>
    <t>Change in Net Assets Without Donor Restrictions from Operations</t>
  </si>
  <si>
    <t>includes sales promotion and advertising services</t>
  </si>
  <si>
    <t>includes building and office operations</t>
  </si>
  <si>
    <t>includes research, travel and other grants, fellowships, scholarships</t>
  </si>
  <si>
    <t>includes services related to conducting Society sponsored meetings and events and other expenses</t>
  </si>
  <si>
    <t>American Chemical Society</t>
  </si>
  <si>
    <t>Information Services Expense Detail</t>
  </si>
  <si>
    <t>Source: ACS Annual Reports</t>
  </si>
  <si>
    <t>READ ME</t>
  </si>
  <si>
    <t>Created by Katharine Macy, Collection Assessment Librarian, IUPUI University Library</t>
  </si>
  <si>
    <t>Create date: 7/10/2021</t>
  </si>
  <si>
    <t>If you pull the data for public companies from a financial databases such as Bloomberg or Capital IQ you may see some minor variation in the numbers. This is because financial information companies that report on company fundamentals (i.e. financial data) often make minor adjustments to report to create the most apples to apples comparison between firms when analyzing. Don't worry about it. Look at the trends.</t>
  </si>
  <si>
    <t>Source: Wiley 10-K Reports</t>
  </si>
  <si>
    <t>Cost of Sales - Marketing Expenses</t>
  </si>
  <si>
    <t>Total Revenues - (Cost of Revenues+Sales, General, &amp; Administration (SGA) +Depreciation &amp; Amortization)</t>
  </si>
  <si>
    <t>EBIT + Depreciations &amp; Amortization</t>
  </si>
  <si>
    <t>Net Debt/EBITDA</t>
  </si>
  <si>
    <t>Updated 7/12/2021</t>
  </si>
  <si>
    <t>John Wiley &amp; Sons</t>
  </si>
  <si>
    <t>RELX Group</t>
  </si>
  <si>
    <t>SOURCE: RLX Annual Reports, 20-F</t>
  </si>
  <si>
    <t>http://hdl.handle.net/1805/26257</t>
  </si>
  <si>
    <t>This data is consolidated to share longitudinal analysis of financial performance in order to identify trends. It was created as support materials to understand vendor positions when trying to determine the zone of possible agreement during negotiations for library electronic resources. This presentation is available in IUPUI's Scholarworks (Institutional Repository) at:</t>
  </si>
  <si>
    <t>A librarian's guide to understanding financial data of scholarly publishing companies is also available in IUPUI's Scholarworks at:</t>
  </si>
  <si>
    <t>The data in this workbook is sourced from the annual reports of the organizations which are freely available on their websites, 10-Ks, and 20-Fs available through the SEC's EDGAR database.</t>
  </si>
  <si>
    <t>http://hdl.handle.net/1805/26256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</si>
</sst>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
    <numFmt numFmtId="165" formatCode="0.0%"/>
    <numFmt numFmtId="166" formatCode="_(* #,##0_);_(* \(#,##0\);_(* &quot;-&quot;??_);_(@_)"/>
    <numFmt numFmtId="167" formatCode="_(* #,##0.0_);_(* \(#,##0.0\);_(* &quot;-&quot;??_);_(@_)"/>
    <numFmt numFmtId="168" formatCode="0.0"/>
  </numFmts>
  <fonts count="15" x14ac:knownFonts="1">
    <font>
      <sz val="11"/>
      <color theme="1"/>
      <name val="Calibri"/>
      <family val="2"/>
      <scheme val="minor"/>
    </font>
    <font>
      <b/>
      <sz val="11"/>
      <color indexed="9"/>
      <name val="Calibri"/>
      <family val="2"/>
    </font>
    <font>
      <b/>
      <sz val="10"/>
      <color indexed="9"/>
      <name val="Arial"/>
      <family val="2"/>
    </font>
    <font>
      <b/>
      <sz val="10"/>
      <color indexed="8"/>
      <name val="Arial"/>
      <family val="2"/>
    </font>
    <font>
      <sz val="11"/>
      <color theme="1"/>
      <name val="Calibri"/>
      <family val="2"/>
      <scheme val="minor"/>
    </font>
    <font>
      <b/>
      <sz val="11"/>
      <color theme="1"/>
      <name val="Calibri"/>
      <family val="2"/>
      <scheme val="minor"/>
    </font>
    <font>
      <sz val="8"/>
      <name val="Calibri"/>
      <family val="2"/>
      <scheme val="minor"/>
    </font>
    <font>
      <sz val="9"/>
      <color indexed="81"/>
      <name val="Tahoma"/>
      <family val="2"/>
    </font>
    <font>
      <b/>
      <sz val="9"/>
      <color indexed="81"/>
      <name val="Tahoma"/>
      <family val="2"/>
    </font>
    <font>
      <sz val="26"/>
      <color theme="1"/>
      <name val="Calibri"/>
      <family val="2"/>
      <scheme val="minor"/>
    </font>
    <font>
      <sz val="9"/>
      <color indexed="81"/>
      <name val="Tahoma"/>
      <charset val="1"/>
    </font>
    <font>
      <b/>
      <sz val="9"/>
      <color indexed="81"/>
      <name val="Tahoma"/>
      <charset val="1"/>
    </font>
    <font>
      <sz val="16"/>
      <color theme="1"/>
      <name val="Calibri"/>
      <family val="2"/>
      <scheme val="minor"/>
    </font>
    <font>
      <sz val="18"/>
      <color theme="1"/>
      <name val="Calibri"/>
      <family val="2"/>
      <scheme val="minor"/>
    </font>
    <font>
      <u/>
      <sz val="11"/>
      <color theme="10"/>
      <name val="Calibri"/>
      <family val="2"/>
      <scheme val="minor"/>
    </font>
  </fonts>
  <fills count="4">
    <fill>
      <patternFill patternType="none"/>
    </fill>
    <fill>
      <patternFill patternType="gray125"/>
    </fill>
    <fill>
      <patternFill patternType="solid">
        <fgColor rgb="FF4F81BD"/>
        <bgColor indexed="64"/>
      </patternFill>
    </fill>
    <fill>
      <patternFill patternType="solid">
        <fgColor rgb="FFFFFFFF"/>
        <bgColor indexed="64"/>
      </patternFill>
    </fill>
  </fills>
  <borders count="5">
    <border>
      <left/>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7">
    <xf numFmtId="0" fontId="0" fillId="0" borderId="0"/>
    <xf numFmtId="0" fontId="1" fillId="2" borderId="0"/>
    <xf numFmtId="0" fontId="2" fillId="2" borderId="1">
      <alignment horizontal="right"/>
    </xf>
    <xf numFmtId="164" fontId="3" fillId="3" borderId="2">
      <alignment horizontal="right"/>
    </xf>
    <xf numFmtId="43" fontId="4" fillId="0" borderId="0" applyFont="0" applyFill="0" applyBorder="0" applyAlignment="0" applyProtection="0"/>
    <xf numFmtId="9" fontId="4" fillId="0" borderId="0" applyFont="0" applyFill="0" applyBorder="0" applyAlignment="0" applyProtection="0"/>
    <xf numFmtId="0" fontId="14" fillId="0" borderId="0" applyNumberFormat="0" applyFill="0" applyBorder="0" applyAlignment="0" applyProtection="0"/>
  </cellStyleXfs>
  <cellXfs count="39">
    <xf numFmtId="0" fontId="0" fillId="0" borderId="0" xfId="0"/>
    <xf numFmtId="0" fontId="0" fillId="0" borderId="3" xfId="0" applyBorder="1"/>
    <xf numFmtId="166" fontId="0" fillId="0" borderId="3" xfId="4" applyNumberFormat="1" applyFont="1" applyBorder="1"/>
    <xf numFmtId="9" fontId="0" fillId="0" borderId="3" xfId="5" applyFont="1" applyBorder="1"/>
    <xf numFmtId="164" fontId="3" fillId="3" borderId="3" xfId="3" applyNumberFormat="1" applyFont="1" applyFill="1" applyBorder="1" applyAlignment="1" applyProtection="1">
      <alignment horizontal="right"/>
    </xf>
    <xf numFmtId="0" fontId="0" fillId="0" borderId="3" xfId="0" quotePrefix="1" applyBorder="1"/>
    <xf numFmtId="0" fontId="5" fillId="0" borderId="3" xfId="0" applyFont="1" applyBorder="1"/>
    <xf numFmtId="9" fontId="0" fillId="0" borderId="4" xfId="5" applyFont="1" applyBorder="1"/>
    <xf numFmtId="166" fontId="0" fillId="0" borderId="3" xfId="0" applyNumberFormat="1" applyBorder="1"/>
    <xf numFmtId="166" fontId="5" fillId="0" borderId="3" xfId="0" applyNumberFormat="1" applyFont="1" applyBorder="1"/>
    <xf numFmtId="9" fontId="5" fillId="0" borderId="4" xfId="5" applyFont="1" applyBorder="1"/>
    <xf numFmtId="9" fontId="5" fillId="0" borderId="3" xfId="5" applyFont="1" applyBorder="1"/>
    <xf numFmtId="0" fontId="5" fillId="0" borderId="0" xfId="0" applyFont="1"/>
    <xf numFmtId="166" fontId="5" fillId="0" borderId="3" xfId="4" applyNumberFormat="1" applyFont="1" applyBorder="1"/>
    <xf numFmtId="165" fontId="0" fillId="0" borderId="3" xfId="5" applyNumberFormat="1" applyFont="1" applyBorder="1"/>
    <xf numFmtId="167" fontId="0" fillId="0" borderId="3" xfId="4" applyNumberFormat="1" applyFont="1" applyBorder="1"/>
    <xf numFmtId="167" fontId="0" fillId="0" borderId="3" xfId="0" applyNumberFormat="1" applyBorder="1"/>
    <xf numFmtId="0" fontId="0" fillId="0" borderId="0" xfId="0" applyAlignment="1">
      <alignment wrapText="1"/>
    </xf>
    <xf numFmtId="0" fontId="9" fillId="0" borderId="0" xfId="0" applyFont="1"/>
    <xf numFmtId="166" fontId="0" fillId="0" borderId="3" xfId="4" applyNumberFormat="1" applyFont="1" applyFill="1" applyBorder="1"/>
    <xf numFmtId="9" fontId="0" fillId="0" borderId="4" xfId="5" applyFont="1" applyFill="1" applyBorder="1"/>
    <xf numFmtId="9" fontId="0" fillId="0" borderId="3" xfId="5" applyFont="1" applyFill="1" applyBorder="1"/>
    <xf numFmtId="0" fontId="0" fillId="0" borderId="3" xfId="0" applyFill="1" applyBorder="1"/>
    <xf numFmtId="168" fontId="0" fillId="0" borderId="3" xfId="0" applyNumberFormat="1" applyBorder="1"/>
    <xf numFmtId="0" fontId="0" fillId="0" borderId="3" xfId="0" applyFont="1" applyBorder="1"/>
    <xf numFmtId="0" fontId="0" fillId="0" borderId="0" xfId="0" applyFill="1"/>
    <xf numFmtId="0" fontId="5" fillId="0" borderId="3" xfId="0" applyFont="1" applyFill="1" applyBorder="1"/>
    <xf numFmtId="166" fontId="5" fillId="0" borderId="3" xfId="4" applyNumberFormat="1" applyFont="1" applyFill="1" applyBorder="1"/>
    <xf numFmtId="9" fontId="5" fillId="0" borderId="3" xfId="5" applyFont="1" applyFill="1" applyBorder="1"/>
    <xf numFmtId="164" fontId="3" fillId="0" borderId="3" xfId="3" applyNumberFormat="1" applyFont="1" applyFill="1" applyBorder="1" applyAlignment="1" applyProtection="1">
      <alignment horizontal="right"/>
    </xf>
    <xf numFmtId="43" fontId="0" fillId="0" borderId="0" xfId="0" applyNumberFormat="1" applyFill="1"/>
    <xf numFmtId="167" fontId="0" fillId="0" borderId="3" xfId="4" applyNumberFormat="1" applyFont="1" applyFill="1" applyBorder="1"/>
    <xf numFmtId="166" fontId="0" fillId="0" borderId="3" xfId="0" applyNumberFormat="1" applyFill="1" applyBorder="1"/>
    <xf numFmtId="0" fontId="12" fillId="0" borderId="0" xfId="0" applyFont="1"/>
    <xf numFmtId="0" fontId="13" fillId="0" borderId="0" xfId="0" applyFont="1"/>
    <xf numFmtId="0" fontId="0" fillId="0" borderId="0" xfId="0" applyAlignment="1">
      <alignment horizontal="center" wrapText="1"/>
    </xf>
    <xf numFmtId="0" fontId="0" fillId="0" borderId="3" xfId="0" applyBorder="1" applyAlignment="1">
      <alignment horizontal="center" wrapText="1"/>
    </xf>
    <xf numFmtId="0" fontId="14" fillId="0" borderId="0" xfId="6" applyAlignment="1">
      <alignment vertical="center"/>
    </xf>
    <xf numFmtId="0" fontId="14" fillId="0" borderId="0" xfId="6"/>
  </cellXfs>
  <cellStyles count="7">
    <cellStyle name="blp_column_header" xfId="1" xr:uid="{48EE84D0-0605-4FEE-B76D-DCB06DAD7E64}"/>
    <cellStyle name="Comma" xfId="4" builtinId="3"/>
    <cellStyle name="fa_column_header_bottom" xfId="2" xr:uid="{F54BFD6C-359D-45B9-A466-FDF88BDA98BA}"/>
    <cellStyle name="fa_data_bold_1_grouped_single_border" xfId="3" xr:uid="{48DD9168-316E-422C-A8A2-9F7372D25E12}"/>
    <cellStyle name="Hyperlink" xfId="6" builtinId="8"/>
    <cellStyle name="Normal" xfId="0" builtinId="0"/>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hdl.handle.net/1805/26256" TargetMode="External"/><Relationship Id="rId1" Type="http://schemas.openxmlformats.org/officeDocument/2006/relationships/hyperlink" Target="http://hdl.handle.net/1805/2625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198A4-44F5-48C7-89A6-38B2535A4665}">
  <dimension ref="A1:C13"/>
  <sheetViews>
    <sheetView tabSelected="1" workbookViewId="0">
      <selection activeCell="A14" sqref="A14"/>
    </sheetView>
  </sheetViews>
  <sheetFormatPr defaultRowHeight="14.4" x14ac:dyDescent="0.3"/>
  <cols>
    <col min="1" max="1" width="91.21875" customWidth="1"/>
  </cols>
  <sheetData>
    <row r="1" spans="1:3" ht="33.6" x14ac:dyDescent="0.65">
      <c r="A1" s="18" t="s">
        <v>77</v>
      </c>
    </row>
    <row r="4" spans="1:3" ht="57.6" x14ac:dyDescent="0.3">
      <c r="A4" s="17" t="s">
        <v>91</v>
      </c>
    </row>
    <row r="5" spans="1:3" x14ac:dyDescent="0.3">
      <c r="A5" s="37" t="s">
        <v>90</v>
      </c>
      <c r="C5" s="37"/>
    </row>
    <row r="6" spans="1:3" ht="28.8" x14ac:dyDescent="0.3">
      <c r="A6" s="17" t="s">
        <v>92</v>
      </c>
    </row>
    <row r="7" spans="1:3" x14ac:dyDescent="0.3">
      <c r="A7" s="38" t="s">
        <v>94</v>
      </c>
    </row>
    <row r="8" spans="1:3" ht="28.8" x14ac:dyDescent="0.3">
      <c r="A8" s="17" t="s">
        <v>93</v>
      </c>
    </row>
    <row r="9" spans="1:3" ht="57.6" x14ac:dyDescent="0.3">
      <c r="A9" s="17" t="s">
        <v>80</v>
      </c>
    </row>
    <row r="11" spans="1:3" x14ac:dyDescent="0.3">
      <c r="A11" s="17" t="s">
        <v>78</v>
      </c>
    </row>
    <row r="12" spans="1:3" x14ac:dyDescent="0.3">
      <c r="A12" s="17" t="s">
        <v>79</v>
      </c>
    </row>
    <row r="13" spans="1:3" x14ac:dyDescent="0.3">
      <c r="A13" s="17" t="s">
        <v>86</v>
      </c>
    </row>
  </sheetData>
  <hyperlinks>
    <hyperlink ref="A5" r:id="rId1" xr:uid="{F37266AA-A8A6-4571-9C97-7A9746A5413D}"/>
    <hyperlink ref="A7" r:id="rId2" xr:uid="{26B5657B-7BAB-4E9C-8F7D-FE17EC753A2A}"/>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21143-2DA0-4512-9232-915743403D91}">
  <dimension ref="A1:N29"/>
  <sheetViews>
    <sheetView topLeftCell="A16" workbookViewId="0">
      <selection activeCell="A28" sqref="A28"/>
    </sheetView>
  </sheetViews>
  <sheetFormatPr defaultRowHeight="14.4" x14ac:dyDescent="0.3"/>
  <cols>
    <col min="1" max="1" width="32.6640625" bestFit="1" customWidth="1"/>
    <col min="2" max="3" width="9.33203125" style="25" bestFit="1" customWidth="1"/>
    <col min="4" max="8" width="9.33203125" bestFit="1" customWidth="1"/>
    <col min="9" max="9" width="5.109375" bestFit="1" customWidth="1"/>
    <col min="10" max="10" width="6.33203125" customWidth="1"/>
    <col min="11" max="11" width="6.33203125" bestFit="1" customWidth="1"/>
    <col min="12" max="12" width="4.33203125" bestFit="1" customWidth="1"/>
    <col min="13" max="13" width="6.33203125" bestFit="1" customWidth="1"/>
    <col min="14" max="14" width="7.21875" customWidth="1"/>
  </cols>
  <sheetData>
    <row r="1" spans="1:14" ht="42" customHeight="1" x14ac:dyDescent="0.45">
      <c r="A1" s="34" t="s">
        <v>88</v>
      </c>
      <c r="B1" s="25" t="s">
        <v>18</v>
      </c>
      <c r="D1" t="s">
        <v>48</v>
      </c>
      <c r="I1" s="35" t="s">
        <v>23</v>
      </c>
      <c r="J1" s="35"/>
      <c r="K1" s="35"/>
      <c r="L1" s="35" t="s">
        <v>24</v>
      </c>
      <c r="M1" s="35"/>
      <c r="N1" s="35"/>
    </row>
    <row r="2" spans="1:14" x14ac:dyDescent="0.3">
      <c r="A2" s="1"/>
      <c r="B2" s="26" t="s">
        <v>10</v>
      </c>
      <c r="C2" s="26" t="s">
        <v>11</v>
      </c>
      <c r="D2" s="6" t="s">
        <v>12</v>
      </c>
      <c r="E2" s="6" t="s">
        <v>13</v>
      </c>
      <c r="F2" s="6" t="s">
        <v>14</v>
      </c>
      <c r="G2" s="6" t="s">
        <v>15</v>
      </c>
      <c r="H2" s="6" t="s">
        <v>16</v>
      </c>
      <c r="I2" s="6" t="s">
        <v>20</v>
      </c>
      <c r="J2" s="6" t="s">
        <v>21</v>
      </c>
      <c r="K2" s="6" t="s">
        <v>22</v>
      </c>
      <c r="L2" s="6" t="s">
        <v>20</v>
      </c>
      <c r="M2" s="6" t="s">
        <v>21</v>
      </c>
      <c r="N2" s="6" t="s">
        <v>22</v>
      </c>
    </row>
    <row r="3" spans="1:14" x14ac:dyDescent="0.3">
      <c r="A3" s="1" t="s">
        <v>9</v>
      </c>
      <c r="B3" s="19">
        <v>5773</v>
      </c>
      <c r="C3" s="19">
        <v>5971</v>
      </c>
      <c r="D3" s="2">
        <v>6889</v>
      </c>
      <c r="E3" s="2">
        <v>7341</v>
      </c>
      <c r="F3" s="2">
        <v>7492</v>
      </c>
      <c r="G3" s="2">
        <v>7874</v>
      </c>
      <c r="H3" s="2">
        <v>7110</v>
      </c>
      <c r="I3" s="3">
        <f>(H3-G3)/G3</f>
        <v>-9.7028194056388115E-2</v>
      </c>
      <c r="J3" s="3">
        <f>((H3-E3)/E3)/3</f>
        <v>-1.048903419152704E-2</v>
      </c>
      <c r="K3" s="3">
        <f>((H3-C3)/C3)/5</f>
        <v>3.8151063473455031E-2</v>
      </c>
      <c r="L3" s="3">
        <f>(G3-F3)/F3</f>
        <v>5.0987720234917246E-2</v>
      </c>
      <c r="M3" s="3">
        <f>((G3-D3)/D3)/3</f>
        <v>4.7660521604490247E-2</v>
      </c>
      <c r="N3" s="3">
        <f>((G3-B3)/B3)/5</f>
        <v>7.2787112419885683E-2</v>
      </c>
    </row>
    <row r="4" spans="1:14" x14ac:dyDescent="0.3">
      <c r="A4" s="5" t="s">
        <v>17</v>
      </c>
      <c r="B4" s="19">
        <v>2006</v>
      </c>
      <c r="C4" s="19">
        <v>2129</v>
      </c>
      <c r="D4" s="2">
        <v>2488</v>
      </c>
      <c r="E4" s="2">
        <v>2628</v>
      </c>
      <c r="F4" s="2">
        <v>2644</v>
      </c>
      <c r="G4" s="2">
        <v>2755</v>
      </c>
      <c r="H4" s="2">
        <v>2487</v>
      </c>
      <c r="I4" s="3">
        <f t="shared" ref="I4:I10" si="0">(H4-G4)/G4</f>
        <v>-9.727767695099819E-2</v>
      </c>
      <c r="J4" s="3">
        <f t="shared" ref="J4:J10" si="1">((H4-E4)/E4)/3</f>
        <v>-1.7884322678843226E-2</v>
      </c>
      <c r="K4" s="3">
        <f t="shared" ref="K4:K10" si="2">((H4-C4)/C4)/5</f>
        <v>3.3630812588069513E-2</v>
      </c>
      <c r="L4" s="3">
        <f t="shared" ref="L4:L10" si="3">(G4-F4)/F4</f>
        <v>4.1981845688350984E-2</v>
      </c>
      <c r="M4" s="3">
        <f t="shared" ref="M4:M10" si="4">((G4-D4)/D4)/3</f>
        <v>3.5771704180064305E-2</v>
      </c>
      <c r="N4" s="3">
        <f t="shared" ref="N4:N10" si="5">((G4-B4)/B4)/5</f>
        <v>7.4675972083748751E-2</v>
      </c>
    </row>
    <row r="5" spans="1:14" x14ac:dyDescent="0.3">
      <c r="A5" s="1" t="s">
        <v>0</v>
      </c>
      <c r="B5" s="19">
        <f>B3-B4</f>
        <v>3767</v>
      </c>
      <c r="C5" s="19">
        <f t="shared" ref="C5:H5" si="6">C3-C4</f>
        <v>3842</v>
      </c>
      <c r="D5" s="2">
        <f t="shared" si="6"/>
        <v>4401</v>
      </c>
      <c r="E5" s="2">
        <f t="shared" si="6"/>
        <v>4713</v>
      </c>
      <c r="F5" s="2">
        <f t="shared" si="6"/>
        <v>4848</v>
      </c>
      <c r="G5" s="2">
        <f t="shared" si="6"/>
        <v>5119</v>
      </c>
      <c r="H5" s="2">
        <f t="shared" si="6"/>
        <v>4623</v>
      </c>
      <c r="I5" s="3">
        <f t="shared" si="0"/>
        <v>-9.6893924594647393E-2</v>
      </c>
      <c r="J5" s="3">
        <f t="shared" si="1"/>
        <v>-6.3653723742838958E-3</v>
      </c>
      <c r="K5" s="3">
        <f t="shared" si="2"/>
        <v>4.0655908381051535E-2</v>
      </c>
      <c r="L5" s="3">
        <f t="shared" si="3"/>
        <v>5.5899339933993403E-2</v>
      </c>
      <c r="M5" s="3">
        <f t="shared" si="4"/>
        <v>5.4381579943952131E-2</v>
      </c>
      <c r="N5" s="3">
        <f t="shared" si="5"/>
        <v>7.1781258295726041E-2</v>
      </c>
    </row>
    <row r="6" spans="1:14" x14ac:dyDescent="0.3">
      <c r="A6" s="1" t="s">
        <v>3</v>
      </c>
      <c r="B6" s="21">
        <f>B5/B3</f>
        <v>0.65252035336913217</v>
      </c>
      <c r="C6" s="21">
        <f t="shared" ref="C6:H6" si="7">C5/C3</f>
        <v>0.64344330932842075</v>
      </c>
      <c r="D6" s="3">
        <f t="shared" si="7"/>
        <v>0.63884453476556835</v>
      </c>
      <c r="E6" s="3">
        <f t="shared" si="7"/>
        <v>0.64201062525541475</v>
      </c>
      <c r="F6" s="3">
        <f t="shared" si="7"/>
        <v>0.64709022957821671</v>
      </c>
      <c r="G6" s="3">
        <f t="shared" si="7"/>
        <v>0.65011430022860051</v>
      </c>
      <c r="H6" s="3">
        <f t="shared" si="7"/>
        <v>0.65021097046413501</v>
      </c>
      <c r="I6" s="3"/>
      <c r="J6" s="3"/>
      <c r="K6" s="3"/>
      <c r="L6" s="3"/>
      <c r="M6" s="3"/>
      <c r="N6" s="3"/>
    </row>
    <row r="7" spans="1:14" x14ac:dyDescent="0.3">
      <c r="A7" s="5" t="s">
        <v>25</v>
      </c>
      <c r="B7" s="19">
        <f>B5-B8</f>
        <v>2365</v>
      </c>
      <c r="C7" s="19">
        <f>965+1444</f>
        <v>2409</v>
      </c>
      <c r="D7" s="2">
        <v>2744</v>
      </c>
      <c r="E7" s="2">
        <v>2860</v>
      </c>
      <c r="F7" s="2">
        <v>2925</v>
      </c>
      <c r="G7" s="2">
        <v>3072</v>
      </c>
      <c r="H7" s="2">
        <v>2941</v>
      </c>
      <c r="I7" s="3">
        <f t="shared" si="0"/>
        <v>-4.2643229166666664E-2</v>
      </c>
      <c r="J7" s="3">
        <f t="shared" si="1"/>
        <v>9.4405594405594408E-3</v>
      </c>
      <c r="K7" s="3">
        <f t="shared" si="2"/>
        <v>4.4167704441677044E-2</v>
      </c>
      <c r="L7" s="3">
        <f t="shared" si="3"/>
        <v>5.0256410256410255E-2</v>
      </c>
      <c r="M7" s="3">
        <f t="shared" si="4"/>
        <v>3.9844509232264333E-2</v>
      </c>
      <c r="N7" s="3">
        <f t="shared" si="5"/>
        <v>5.9788583509513736E-2</v>
      </c>
    </row>
    <row r="8" spans="1:14" x14ac:dyDescent="0.3">
      <c r="A8" s="1" t="s">
        <v>2</v>
      </c>
      <c r="B8" s="19">
        <v>1402</v>
      </c>
      <c r="C8" s="19">
        <v>1497</v>
      </c>
      <c r="D8" s="2">
        <f t="shared" ref="D8:G8" si="8">D5-D7</f>
        <v>1657</v>
      </c>
      <c r="E8" s="2">
        <f t="shared" si="8"/>
        <v>1853</v>
      </c>
      <c r="F8" s="2">
        <f t="shared" si="8"/>
        <v>1923</v>
      </c>
      <c r="G8" s="2">
        <f t="shared" si="8"/>
        <v>2047</v>
      </c>
      <c r="H8" s="2">
        <f>H5-H7</f>
        <v>1682</v>
      </c>
      <c r="I8" s="3">
        <f t="shared" si="0"/>
        <v>-0.17830972154372252</v>
      </c>
      <c r="J8" s="3">
        <f t="shared" si="1"/>
        <v>-3.076092822450081E-2</v>
      </c>
      <c r="K8" s="3">
        <f t="shared" si="2"/>
        <v>2.4716098864395457E-2</v>
      </c>
      <c r="L8" s="3">
        <f t="shared" si="3"/>
        <v>6.4482579303172124E-2</v>
      </c>
      <c r="M8" s="3">
        <f t="shared" si="4"/>
        <v>7.8455039227519605E-2</v>
      </c>
      <c r="N8" s="3">
        <f t="shared" si="5"/>
        <v>9.2011412268188292E-2</v>
      </c>
    </row>
    <row r="9" spans="1:14" x14ac:dyDescent="0.3">
      <c r="A9" s="1" t="s">
        <v>4</v>
      </c>
      <c r="B9" s="21">
        <f t="shared" ref="B9:H9" si="9">B8/B3</f>
        <v>0.2428546682833882</v>
      </c>
      <c r="C9" s="21">
        <f t="shared" si="9"/>
        <v>0.25071177357226593</v>
      </c>
      <c r="D9" s="3">
        <f t="shared" si="9"/>
        <v>0.24052837857453913</v>
      </c>
      <c r="E9" s="3">
        <f t="shared" si="9"/>
        <v>0.25241792671298185</v>
      </c>
      <c r="F9" s="3">
        <f t="shared" si="9"/>
        <v>0.25667378537106245</v>
      </c>
      <c r="G9" s="3">
        <f t="shared" si="9"/>
        <v>0.25996951993903988</v>
      </c>
      <c r="H9" s="3">
        <f t="shared" si="9"/>
        <v>0.23656821378340365</v>
      </c>
      <c r="I9" s="3"/>
      <c r="J9" s="3"/>
      <c r="K9" s="3"/>
      <c r="L9" s="3"/>
      <c r="M9" s="3"/>
      <c r="N9" s="3"/>
    </row>
    <row r="10" spans="1:14" s="12" customFormat="1" x14ac:dyDescent="0.3">
      <c r="A10" s="6" t="s">
        <v>1</v>
      </c>
      <c r="B10" s="27">
        <v>1976</v>
      </c>
      <c r="C10" s="27">
        <v>2050</v>
      </c>
      <c r="D10" s="13">
        <f>D8+404</f>
        <v>2061</v>
      </c>
      <c r="E10" s="13">
        <f>E8+378</f>
        <v>2231</v>
      </c>
      <c r="F10" s="13">
        <f>F8+349</f>
        <v>2272</v>
      </c>
      <c r="G10" s="13">
        <f>G8+352</f>
        <v>2399</v>
      </c>
      <c r="H10" s="13">
        <f>H8+436</f>
        <v>2118</v>
      </c>
      <c r="I10" s="11">
        <f t="shared" si="0"/>
        <v>-0.11713213839099625</v>
      </c>
      <c r="J10" s="11">
        <f t="shared" si="1"/>
        <v>-1.6883310921858657E-2</v>
      </c>
      <c r="K10" s="11">
        <f t="shared" si="2"/>
        <v>6.6341463414634153E-3</v>
      </c>
      <c r="L10" s="11">
        <f t="shared" si="3"/>
        <v>5.5897887323943664E-2</v>
      </c>
      <c r="M10" s="11">
        <f t="shared" si="4"/>
        <v>5.4666019731521916E-2</v>
      </c>
      <c r="N10" s="11">
        <f t="shared" si="5"/>
        <v>4.2813765182186235E-2</v>
      </c>
    </row>
    <row r="11" spans="1:14" s="12" customFormat="1" x14ac:dyDescent="0.3">
      <c r="A11" s="6" t="s">
        <v>19</v>
      </c>
      <c r="B11" s="28">
        <f t="shared" ref="B11:H11" si="10">B10/B3</f>
        <v>0.34228304174605922</v>
      </c>
      <c r="C11" s="28">
        <f t="shared" si="10"/>
        <v>0.34332607603416515</v>
      </c>
      <c r="D11" s="11">
        <f t="shared" si="10"/>
        <v>0.29917259399041951</v>
      </c>
      <c r="E11" s="11">
        <f t="shared" si="10"/>
        <v>0.30390954910775098</v>
      </c>
      <c r="F11" s="11">
        <f t="shared" si="10"/>
        <v>0.30325680726107851</v>
      </c>
      <c r="G11" s="11">
        <f t="shared" si="10"/>
        <v>0.30467360934721871</v>
      </c>
      <c r="H11" s="11">
        <f t="shared" si="10"/>
        <v>0.2978902953586498</v>
      </c>
      <c r="I11" s="11"/>
      <c r="J11" s="6"/>
      <c r="K11" s="6"/>
      <c r="L11" s="6"/>
      <c r="M11" s="6"/>
      <c r="N11" s="6"/>
    </row>
    <row r="12" spans="1:14" x14ac:dyDescent="0.3">
      <c r="A12" s="1" t="s">
        <v>85</v>
      </c>
      <c r="B12" s="31">
        <v>1.7</v>
      </c>
      <c r="C12" s="31">
        <v>1.8</v>
      </c>
      <c r="D12" s="15">
        <v>2.39</v>
      </c>
      <c r="E12" s="15">
        <v>2.2400000000000002</v>
      </c>
      <c r="F12" s="15">
        <v>2.67</v>
      </c>
      <c r="G12" s="15">
        <v>2.5299999999999998</v>
      </c>
      <c r="H12" s="15">
        <v>3.19</v>
      </c>
      <c r="I12" s="3"/>
      <c r="J12" s="1"/>
      <c r="K12" s="1"/>
      <c r="L12" s="1"/>
      <c r="M12" s="1"/>
      <c r="N12" s="1"/>
    </row>
    <row r="13" spans="1:14" x14ac:dyDescent="0.3">
      <c r="A13" s="1"/>
      <c r="B13" s="22"/>
      <c r="C13" s="22"/>
      <c r="D13" s="1"/>
      <c r="E13" s="1"/>
      <c r="F13" s="1"/>
      <c r="G13" s="1"/>
      <c r="H13" s="1"/>
      <c r="I13" s="1"/>
      <c r="J13" s="1"/>
      <c r="K13" s="1"/>
      <c r="L13" s="1"/>
      <c r="M13" s="1"/>
      <c r="N13" s="1"/>
    </row>
    <row r="14" spans="1:14" x14ac:dyDescent="0.3">
      <c r="A14" s="1"/>
      <c r="B14" s="22"/>
      <c r="C14" s="22"/>
      <c r="D14" s="1"/>
      <c r="E14" s="1"/>
      <c r="F14" s="1"/>
      <c r="G14" s="1"/>
      <c r="H14" s="1"/>
      <c r="I14" s="1"/>
      <c r="J14" s="1"/>
      <c r="K14" s="1"/>
      <c r="L14" s="1"/>
      <c r="M14" s="1"/>
      <c r="N14" s="1"/>
    </row>
    <row r="15" spans="1:14" x14ac:dyDescent="0.3">
      <c r="A15" s="1" t="s">
        <v>27</v>
      </c>
      <c r="B15" s="19">
        <v>2048</v>
      </c>
      <c r="C15" s="19">
        <v>2070</v>
      </c>
      <c r="D15" s="2">
        <v>2320</v>
      </c>
      <c r="E15" s="2">
        <v>2478</v>
      </c>
      <c r="F15" s="2">
        <v>2538</v>
      </c>
      <c r="G15" s="2">
        <v>2637</v>
      </c>
      <c r="H15" s="2">
        <v>2692</v>
      </c>
      <c r="I15" s="3">
        <f>(H15-G15)/G15</f>
        <v>2.0857034508911642E-2</v>
      </c>
      <c r="J15" s="3">
        <f>((H15-E15)/E15)/3</f>
        <v>2.8786655905299972E-2</v>
      </c>
      <c r="K15" s="3">
        <f>((H15-C15)/C15)/5</f>
        <v>6.0096618357487919E-2</v>
      </c>
      <c r="L15" s="3">
        <f>(G15-F15)/F15</f>
        <v>3.9007092198581561E-2</v>
      </c>
      <c r="M15" s="3">
        <f>((G15-D15)/D15)/3</f>
        <v>4.5545977011494258E-2</v>
      </c>
      <c r="N15" s="3">
        <f>((G15-B15)/B15)/5</f>
        <v>5.7519531249999999E-2</v>
      </c>
    </row>
    <row r="16" spans="1:14" x14ac:dyDescent="0.3">
      <c r="A16" s="1" t="s">
        <v>26</v>
      </c>
      <c r="B16" s="21">
        <f t="shared" ref="B16:H16" si="11">B15/B3</f>
        <v>0.35475489346959987</v>
      </c>
      <c r="C16" s="21">
        <f t="shared" si="11"/>
        <v>0.3466755987271814</v>
      </c>
      <c r="D16" s="3">
        <f t="shared" si="11"/>
        <v>0.3367687617941646</v>
      </c>
      <c r="E16" s="3">
        <f t="shared" si="11"/>
        <v>0.33755619125459746</v>
      </c>
      <c r="F16" s="3">
        <f t="shared" si="11"/>
        <v>0.33876134543513081</v>
      </c>
      <c r="G16" s="3">
        <f t="shared" si="11"/>
        <v>0.33489966979933961</v>
      </c>
      <c r="H16" s="3">
        <f t="shared" si="11"/>
        <v>0.37862165963431788</v>
      </c>
      <c r="I16" s="1"/>
      <c r="J16" s="1"/>
      <c r="K16" s="1"/>
      <c r="L16" s="1"/>
      <c r="M16" s="1"/>
      <c r="N16" s="1"/>
    </row>
    <row r="17" spans="1:14" hidden="1" x14ac:dyDescent="0.3">
      <c r="A17" s="1" t="s">
        <v>28</v>
      </c>
      <c r="B17" s="29">
        <v>1233</v>
      </c>
      <c r="C17" s="29">
        <v>1251</v>
      </c>
      <c r="D17" s="4">
        <v>2114</v>
      </c>
      <c r="E17" s="4">
        <v>2284</v>
      </c>
      <c r="F17" s="4">
        <v>2346</v>
      </c>
      <c r="G17" s="4">
        <v>2491</v>
      </c>
      <c r="H17" s="4">
        <v>2076</v>
      </c>
      <c r="I17" s="1"/>
      <c r="J17" s="1"/>
      <c r="K17" s="1"/>
      <c r="L17" s="1"/>
      <c r="M17" s="1"/>
      <c r="N17" s="1"/>
    </row>
    <row r="18" spans="1:14" x14ac:dyDescent="0.3">
      <c r="A18" s="1" t="s">
        <v>29</v>
      </c>
      <c r="B18" s="19">
        <v>762</v>
      </c>
      <c r="C18" s="19">
        <v>760</v>
      </c>
      <c r="D18" s="2">
        <v>853</v>
      </c>
      <c r="E18" s="2">
        <v>913</v>
      </c>
      <c r="F18" s="2">
        <v>942</v>
      </c>
      <c r="G18" s="2">
        <v>982</v>
      </c>
      <c r="H18" s="2">
        <v>1021</v>
      </c>
      <c r="I18" s="3">
        <f>(H18-G18)/G18</f>
        <v>3.9714867617107942E-2</v>
      </c>
      <c r="J18" s="3">
        <f>((H18-E18)/E18)/3</f>
        <v>3.9430449069003289E-2</v>
      </c>
      <c r="K18" s="3">
        <f>((H18-C18)/C18)/5</f>
        <v>6.8684210526315792E-2</v>
      </c>
      <c r="L18" s="3">
        <f>(G18-F18)/F18</f>
        <v>4.2462845010615709E-2</v>
      </c>
      <c r="M18" s="3">
        <f>((G18-D18)/D18)/3</f>
        <v>5.0410316529894493E-2</v>
      </c>
      <c r="N18" s="3">
        <f>((G18-B18)/B18)/5</f>
        <v>5.7742782152230977E-2</v>
      </c>
    </row>
    <row r="19" spans="1:14" x14ac:dyDescent="0.3">
      <c r="A19" s="1" t="s">
        <v>30</v>
      </c>
      <c r="B19" s="21">
        <f t="shared" ref="B19:H19" si="12">B18/B17</f>
        <v>0.61800486618004868</v>
      </c>
      <c r="C19" s="21">
        <f t="shared" si="12"/>
        <v>0.6075139888089528</v>
      </c>
      <c r="D19" s="3">
        <f t="shared" si="12"/>
        <v>0.4035004730368969</v>
      </c>
      <c r="E19" s="3">
        <f t="shared" si="12"/>
        <v>0.39973730297723292</v>
      </c>
      <c r="F19" s="3">
        <f t="shared" si="12"/>
        <v>0.40153452685421998</v>
      </c>
      <c r="G19" s="3">
        <f t="shared" si="12"/>
        <v>0.39421918908069048</v>
      </c>
      <c r="H19" s="3">
        <f t="shared" si="12"/>
        <v>0.49181117533718688</v>
      </c>
      <c r="I19" s="1"/>
      <c r="J19" s="1"/>
      <c r="K19" s="1"/>
      <c r="L19" s="1"/>
      <c r="M19" s="1"/>
      <c r="N19" s="1"/>
    </row>
    <row r="20" spans="1:14" x14ac:dyDescent="0.3">
      <c r="A20" s="1" t="s">
        <v>31</v>
      </c>
      <c r="B20" s="19">
        <v>173</v>
      </c>
      <c r="C20" s="19">
        <v>163</v>
      </c>
      <c r="D20" s="2">
        <f>88+82</f>
        <v>170</v>
      </c>
      <c r="E20" s="2">
        <f>77+81</f>
        <v>158</v>
      </c>
      <c r="F20" s="2">
        <f>58+109</f>
        <v>167</v>
      </c>
      <c r="G20" s="2">
        <f>62+109</f>
        <v>171</v>
      </c>
      <c r="H20" s="2">
        <f>120+65</f>
        <v>185</v>
      </c>
      <c r="I20" s="3">
        <f>(H20-G20)/G20</f>
        <v>8.1871345029239762E-2</v>
      </c>
      <c r="J20" s="3">
        <f>((H20-E20)/E20)/3</f>
        <v>5.6962025316455694E-2</v>
      </c>
      <c r="K20" s="3">
        <f>((H20-C20)/C20)/5</f>
        <v>2.6993865030674847E-2</v>
      </c>
      <c r="L20" s="3">
        <f>(G20-F20)/F20</f>
        <v>2.3952095808383235E-2</v>
      </c>
      <c r="M20" s="3">
        <f>((G20-D20)/D20)/3</f>
        <v>1.9607843137254902E-3</v>
      </c>
      <c r="N20" s="3">
        <f>((G20-B20)/B20)/5</f>
        <v>-2.3121387283236991E-3</v>
      </c>
    </row>
    <row r="21" spans="1:14" s="12" customFormat="1" x14ac:dyDescent="0.3">
      <c r="A21" s="6" t="s">
        <v>32</v>
      </c>
      <c r="B21" s="27">
        <f>B18+B20</f>
        <v>935</v>
      </c>
      <c r="C21" s="27">
        <f t="shared" ref="C21:H21" si="13">C18+C20</f>
        <v>923</v>
      </c>
      <c r="D21" s="13">
        <f t="shared" si="13"/>
        <v>1023</v>
      </c>
      <c r="E21" s="13">
        <f t="shared" si="13"/>
        <v>1071</v>
      </c>
      <c r="F21" s="13">
        <f t="shared" si="13"/>
        <v>1109</v>
      </c>
      <c r="G21" s="13">
        <f t="shared" si="13"/>
        <v>1153</v>
      </c>
      <c r="H21" s="13">
        <f t="shared" si="13"/>
        <v>1206</v>
      </c>
      <c r="I21" s="11">
        <f>(H21-G21)/G21</f>
        <v>4.5967042497831741E-2</v>
      </c>
      <c r="J21" s="11">
        <f>((H21-E21)/E21)/3</f>
        <v>4.2016806722689072E-2</v>
      </c>
      <c r="K21" s="11">
        <f>((H21-C21)/C21)/5</f>
        <v>6.1321776814734566E-2</v>
      </c>
      <c r="L21" s="11">
        <f>(G21-F21)/F21</f>
        <v>3.9675383228133451E-2</v>
      </c>
      <c r="M21" s="11">
        <f>((G21-D21)/D21)/3</f>
        <v>4.2359074617139135E-2</v>
      </c>
      <c r="N21" s="11">
        <f>((G21-B21)/B21)/5</f>
        <v>4.6631016042780749E-2</v>
      </c>
    </row>
    <row r="22" spans="1:14" s="12" customFormat="1" x14ac:dyDescent="0.3">
      <c r="A22" s="6" t="s">
        <v>33</v>
      </c>
      <c r="B22" s="28">
        <f t="shared" ref="B22:H22" si="14">B21/B15</f>
        <v>0.45654296875</v>
      </c>
      <c r="C22" s="28">
        <f t="shared" si="14"/>
        <v>0.44589371980676329</v>
      </c>
      <c r="D22" s="11">
        <f t="shared" si="14"/>
        <v>0.44094827586206897</v>
      </c>
      <c r="E22" s="11">
        <f t="shared" si="14"/>
        <v>0.43220338983050849</v>
      </c>
      <c r="F22" s="11">
        <f t="shared" si="14"/>
        <v>0.43695823483057528</v>
      </c>
      <c r="G22" s="11">
        <f t="shared" si="14"/>
        <v>0.43723928706863863</v>
      </c>
      <c r="H22" s="11">
        <f t="shared" si="14"/>
        <v>0.44799405646359586</v>
      </c>
      <c r="I22" s="6"/>
      <c r="J22" s="6"/>
      <c r="K22" s="6"/>
      <c r="L22" s="6"/>
      <c r="M22" s="6"/>
      <c r="N22" s="6"/>
    </row>
    <row r="23" spans="1:14" x14ac:dyDescent="0.3">
      <c r="A23" s="1" t="s">
        <v>34</v>
      </c>
      <c r="B23" s="21">
        <f t="shared" ref="B23:H23" si="15">B21/B10</f>
        <v>0.47317813765182187</v>
      </c>
      <c r="C23" s="21">
        <f t="shared" si="15"/>
        <v>0.4502439024390244</v>
      </c>
      <c r="D23" s="3">
        <f t="shared" si="15"/>
        <v>0.49636098981077148</v>
      </c>
      <c r="E23" s="3">
        <f t="shared" si="15"/>
        <v>0.48005378753922007</v>
      </c>
      <c r="F23" s="3">
        <f t="shared" si="15"/>
        <v>0.48811619718309857</v>
      </c>
      <c r="G23" s="3">
        <f t="shared" si="15"/>
        <v>0.4806169237182159</v>
      </c>
      <c r="H23" s="3">
        <f t="shared" si="15"/>
        <v>0.56940509915014159</v>
      </c>
      <c r="I23" s="1"/>
      <c r="J23" s="1"/>
      <c r="K23" s="1"/>
      <c r="L23" s="1"/>
      <c r="M23" s="1"/>
      <c r="N23" s="1"/>
    </row>
    <row r="24" spans="1:14" x14ac:dyDescent="0.3">
      <c r="A24" s="1" t="s">
        <v>35</v>
      </c>
      <c r="B24" s="19">
        <v>7000</v>
      </c>
      <c r="C24" s="19">
        <v>7200</v>
      </c>
      <c r="D24" s="2">
        <v>7500</v>
      </c>
      <c r="E24" s="2">
        <v>7500</v>
      </c>
      <c r="F24" s="2">
        <v>7900</v>
      </c>
      <c r="G24" s="2">
        <v>8100</v>
      </c>
      <c r="H24" s="2">
        <v>8600</v>
      </c>
      <c r="I24" s="3">
        <f>(H24-G24)/G24</f>
        <v>6.1728395061728392E-2</v>
      </c>
      <c r="J24" s="3">
        <f>((H24-E24)/E24)/3</f>
        <v>4.8888888888888891E-2</v>
      </c>
      <c r="K24" s="3">
        <f>((H24-C24)/C24)/5</f>
        <v>3.888888888888889E-2</v>
      </c>
      <c r="L24" s="3">
        <f>(G24-F24)/F24</f>
        <v>2.5316455696202531E-2</v>
      </c>
      <c r="M24" s="3">
        <f>((G24-D24)/D24)/3</f>
        <v>2.6666666666666668E-2</v>
      </c>
      <c r="N24" s="3">
        <f>((G24-B24)/B24)/5</f>
        <v>3.1428571428571431E-2</v>
      </c>
    </row>
    <row r="25" spans="1:14" x14ac:dyDescent="0.3">
      <c r="A25" s="1" t="s">
        <v>36</v>
      </c>
      <c r="B25" s="21">
        <v>0.25362318840579701</v>
      </c>
      <c r="C25" s="21">
        <v>0.247422680412371</v>
      </c>
      <c r="D25" s="3">
        <v>0.24671052631578899</v>
      </c>
      <c r="E25" s="3">
        <v>0.24834437086092701</v>
      </c>
      <c r="F25" s="3">
        <v>0.25239616613418497</v>
      </c>
      <c r="G25" s="3">
        <v>0.25</v>
      </c>
      <c r="H25" s="3">
        <v>0.265432098765432</v>
      </c>
      <c r="I25" s="1"/>
      <c r="J25" s="1"/>
      <c r="K25" s="1"/>
      <c r="L25" s="1"/>
      <c r="M25" s="1"/>
      <c r="N25" s="1"/>
    </row>
    <row r="27" spans="1:14" x14ac:dyDescent="0.3">
      <c r="A27" t="s">
        <v>89</v>
      </c>
    </row>
    <row r="29" spans="1:14" x14ac:dyDescent="0.3">
      <c r="B29" s="30"/>
    </row>
  </sheetData>
  <mergeCells count="2">
    <mergeCell ref="I1:K1"/>
    <mergeCell ref="L1:N1"/>
  </mergeCells>
  <phoneticPr fontId="6"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84387-47B9-482B-917D-90C2BDC980F3}">
  <dimension ref="A1:O30"/>
  <sheetViews>
    <sheetView topLeftCell="A16" zoomScale="110" zoomScaleNormal="110" workbookViewId="0"/>
  </sheetViews>
  <sheetFormatPr defaultRowHeight="14.4" x14ac:dyDescent="0.3"/>
  <cols>
    <col min="1" max="1" width="44.44140625" bestFit="1" customWidth="1"/>
    <col min="2" max="2" width="30.21875" bestFit="1" customWidth="1"/>
    <col min="3" max="3" width="9.33203125" style="25" bestFit="1" customWidth="1"/>
    <col min="4" max="4" width="10" style="25" bestFit="1" customWidth="1"/>
    <col min="5" max="6" width="9.33203125" bestFit="1" customWidth="1"/>
    <col min="7" max="7" width="11.109375" bestFit="1" customWidth="1"/>
    <col min="8" max="8" width="9.33203125" bestFit="1" customWidth="1"/>
    <col min="9" max="9" width="10.21875" bestFit="1" customWidth="1"/>
  </cols>
  <sheetData>
    <row r="1" spans="1:15" ht="32.4" customHeight="1" x14ac:dyDescent="0.4">
      <c r="A1" s="33" t="s">
        <v>87</v>
      </c>
      <c r="D1" s="25" t="s">
        <v>47</v>
      </c>
      <c r="F1" t="s">
        <v>46</v>
      </c>
      <c r="J1" s="36" t="s">
        <v>45</v>
      </c>
      <c r="K1" s="36"/>
      <c r="L1" s="36"/>
      <c r="M1" s="36" t="s">
        <v>23</v>
      </c>
      <c r="N1" s="36"/>
      <c r="O1" s="36"/>
    </row>
    <row r="2" spans="1:15" x14ac:dyDescent="0.3">
      <c r="C2" s="26" t="s">
        <v>11</v>
      </c>
      <c r="D2" s="26" t="s">
        <v>12</v>
      </c>
      <c r="E2" s="6" t="s">
        <v>13</v>
      </c>
      <c r="F2" s="6" t="s">
        <v>14</v>
      </c>
      <c r="G2" s="6" t="s">
        <v>15</v>
      </c>
      <c r="H2" s="6" t="s">
        <v>16</v>
      </c>
      <c r="I2" s="6" t="s">
        <v>37</v>
      </c>
      <c r="J2" s="6" t="s">
        <v>20</v>
      </c>
      <c r="K2" s="6" t="s">
        <v>21</v>
      </c>
      <c r="L2" s="6" t="s">
        <v>22</v>
      </c>
      <c r="M2" s="6" t="s">
        <v>20</v>
      </c>
      <c r="N2" s="6" t="s">
        <v>21</v>
      </c>
      <c r="O2" s="6" t="s">
        <v>22</v>
      </c>
    </row>
    <row r="3" spans="1:15" x14ac:dyDescent="0.3">
      <c r="A3" s="1" t="s">
        <v>9</v>
      </c>
      <c r="B3" s="1"/>
      <c r="C3" s="19">
        <v>1822.44</v>
      </c>
      <c r="D3" s="19">
        <v>1727.037</v>
      </c>
      <c r="E3" s="2">
        <v>1718.53</v>
      </c>
      <c r="F3" s="2">
        <v>1796.1030000000001</v>
      </c>
      <c r="G3" s="2">
        <v>1800.069</v>
      </c>
      <c r="H3" s="2">
        <v>1831.4829999999999</v>
      </c>
      <c r="I3" s="2">
        <v>1941.501</v>
      </c>
      <c r="J3" s="7">
        <f>(I3-H3)/H3</f>
        <v>6.007044564432213E-2</v>
      </c>
      <c r="K3" s="3">
        <f>((I3-F3)/F3)/3</f>
        <v>2.6983975863299581E-2</v>
      </c>
      <c r="L3" s="3">
        <f>((I3-D3)/D3)/5</f>
        <v>2.4836063153250328E-2</v>
      </c>
      <c r="M3" s="3">
        <f>(H3-G3)/G3</f>
        <v>1.745155324601445E-2</v>
      </c>
      <c r="N3" s="3">
        <f>((H3-E3)/E3)/3</f>
        <v>2.190884069524535E-2</v>
      </c>
      <c r="O3" s="3">
        <f>((H3-C3)/C3)/5</f>
        <v>9.9240578564999604E-4</v>
      </c>
    </row>
    <row r="4" spans="1:15" x14ac:dyDescent="0.3">
      <c r="A4" s="5" t="s">
        <v>17</v>
      </c>
      <c r="B4" s="5" t="s">
        <v>82</v>
      </c>
      <c r="C4" s="19">
        <v>499.68299999999999</v>
      </c>
      <c r="D4" s="19">
        <v>466.17700000000002</v>
      </c>
      <c r="E4" s="2">
        <v>468.39400000000001</v>
      </c>
      <c r="F4" s="2">
        <v>492.72399999999999</v>
      </c>
      <c r="G4" s="2">
        <v>501.02199999999999</v>
      </c>
      <c r="H4" s="2">
        <v>525.22400000000005</v>
      </c>
      <c r="I4" s="2">
        <v>568.33500000000004</v>
      </c>
      <c r="J4" s="7">
        <f t="shared" ref="J4:J20" si="0">(I4-H4)/H4</f>
        <v>8.2081169177341456E-2</v>
      </c>
      <c r="K4" s="3">
        <f t="shared" ref="K4:K20" si="1">((I4-F4)/F4)/3</f>
        <v>5.1151692766471052E-2</v>
      </c>
      <c r="L4" s="3">
        <f t="shared" ref="L4:L20" si="2">((I4-D4)/D4)/5</f>
        <v>4.3827988081780102E-2</v>
      </c>
      <c r="M4" s="3">
        <f t="shared" ref="M4:M20" si="3">(H4-G4)/G4</f>
        <v>4.8305264040301735E-2</v>
      </c>
      <c r="N4" s="3">
        <f t="shared" ref="N4:N20" si="4">((H4-E4)/E4)/3</f>
        <v>4.0443159676113158E-2</v>
      </c>
      <c r="O4" s="3">
        <f>((H4-C4)/C4)/5</f>
        <v>1.0222881306748501E-2</v>
      </c>
    </row>
    <row r="5" spans="1:15" x14ac:dyDescent="0.3">
      <c r="A5" s="1" t="s">
        <v>0</v>
      </c>
      <c r="B5" s="1"/>
      <c r="C5" s="19">
        <f t="shared" ref="C5:I5" si="5">C3-C4</f>
        <v>1322.7570000000001</v>
      </c>
      <c r="D5" s="19">
        <f t="shared" si="5"/>
        <v>1260.8600000000001</v>
      </c>
      <c r="E5" s="2">
        <f t="shared" si="5"/>
        <v>1250.136</v>
      </c>
      <c r="F5" s="2">
        <f>F3-F4</f>
        <v>1303.3790000000001</v>
      </c>
      <c r="G5" s="2">
        <f t="shared" si="5"/>
        <v>1299.047</v>
      </c>
      <c r="H5" s="2">
        <f t="shared" si="5"/>
        <v>1306.259</v>
      </c>
      <c r="I5" s="2">
        <f t="shared" si="5"/>
        <v>1373.1659999999999</v>
      </c>
      <c r="J5" s="7">
        <f t="shared" si="0"/>
        <v>5.1220316950926215E-2</v>
      </c>
      <c r="K5" s="3">
        <f t="shared" si="1"/>
        <v>1.7847712241284588E-2</v>
      </c>
      <c r="L5" s="3">
        <f t="shared" si="2"/>
        <v>1.7814190314547181E-2</v>
      </c>
      <c r="M5" s="3">
        <f t="shared" si="3"/>
        <v>5.5517621764262486E-3</v>
      </c>
      <c r="N5" s="3">
        <f t="shared" si="4"/>
        <v>1.4964505195168112E-2</v>
      </c>
      <c r="O5" s="3">
        <f>((H5-C5)/C5)/5</f>
        <v>-2.4944868936622594E-3</v>
      </c>
    </row>
    <row r="6" spans="1:15" x14ac:dyDescent="0.3">
      <c r="A6" s="1" t="s">
        <v>3</v>
      </c>
      <c r="B6" s="1"/>
      <c r="C6" s="21">
        <f>C5/C3</f>
        <v>0.72581648778560615</v>
      </c>
      <c r="D6" s="21">
        <f t="shared" ref="D6:I6" si="6">D5/D3</f>
        <v>0.7300712144557413</v>
      </c>
      <c r="E6" s="3">
        <f t="shared" si="6"/>
        <v>0.72744496750129473</v>
      </c>
      <c r="F6" s="3">
        <f t="shared" si="6"/>
        <v>0.72567052112267505</v>
      </c>
      <c r="G6" s="3">
        <f t="shared" si="6"/>
        <v>0.72166511394840982</v>
      </c>
      <c r="H6" s="3">
        <f t="shared" si="6"/>
        <v>0.7132247473768526</v>
      </c>
      <c r="I6" s="3">
        <f t="shared" si="6"/>
        <v>0.70727030271939084</v>
      </c>
      <c r="J6" s="7"/>
      <c r="K6" s="3"/>
      <c r="L6" s="3"/>
      <c r="M6" s="3"/>
      <c r="N6" s="3"/>
      <c r="O6" s="3"/>
    </row>
    <row r="7" spans="1:15" x14ac:dyDescent="0.3">
      <c r="A7" s="5" t="s">
        <v>25</v>
      </c>
      <c r="B7" s="5"/>
      <c r="C7" s="19">
        <f>1584.701-C4</f>
        <v>1085.018</v>
      </c>
      <c r="D7" s="19">
        <f>1538.924-D4</f>
        <v>1072.7469999999998</v>
      </c>
      <c r="E7" s="2">
        <f>49.67+967.5</f>
        <v>1017.17</v>
      </c>
      <c r="F7" s="2">
        <f>983.57+48.23</f>
        <v>1031.8</v>
      </c>
      <c r="G7" s="2">
        <f>54.66+1008.59</f>
        <v>1063.25</v>
      </c>
      <c r="H7" s="2">
        <f>1052.21+62.44</f>
        <v>1114.6500000000001</v>
      </c>
      <c r="I7" s="2">
        <f>1064.65+74.69</f>
        <v>1139.3400000000001</v>
      </c>
      <c r="J7" s="7">
        <f t="shared" si="0"/>
        <v>2.2150450814156956E-2</v>
      </c>
      <c r="K7" s="3">
        <f t="shared" si="1"/>
        <v>3.4741875040382571E-2</v>
      </c>
      <c r="L7" s="3">
        <f t="shared" si="2"/>
        <v>1.2415415750405326E-2</v>
      </c>
      <c r="M7" s="3">
        <f t="shared" si="3"/>
        <v>4.834234657888558E-2</v>
      </c>
      <c r="N7" s="3">
        <f t="shared" si="4"/>
        <v>3.1944840423265904E-2</v>
      </c>
      <c r="O7" s="3">
        <f>((H7-C7)/C7)/5</f>
        <v>5.4620292013588829E-3</v>
      </c>
    </row>
    <row r="8" spans="1:15" x14ac:dyDescent="0.3">
      <c r="A8" s="1" t="s">
        <v>2</v>
      </c>
      <c r="B8" s="1" t="s">
        <v>83</v>
      </c>
      <c r="C8" s="19">
        <f>C5-C7</f>
        <v>237.73900000000003</v>
      </c>
      <c r="D8" s="19">
        <f t="shared" ref="D8" si="7">D5-D7</f>
        <v>188.11300000000028</v>
      </c>
      <c r="E8" s="2">
        <f t="shared" ref="E8:H8" si="8">E3-E4-E7</f>
        <v>232.96600000000001</v>
      </c>
      <c r="F8" s="2">
        <f t="shared" si="8"/>
        <v>271.57900000000018</v>
      </c>
      <c r="G8" s="2">
        <f t="shared" si="8"/>
        <v>235.79700000000003</v>
      </c>
      <c r="H8" s="2">
        <f t="shared" si="8"/>
        <v>191.60899999999992</v>
      </c>
      <c r="I8" s="2">
        <f>I3-I4-I7</f>
        <v>233.82599999999979</v>
      </c>
      <c r="J8" s="7">
        <f t="shared" si="0"/>
        <v>0.22032889895568522</v>
      </c>
      <c r="K8" s="3">
        <f t="shared" si="1"/>
        <v>-4.6337652518543236E-2</v>
      </c>
      <c r="L8" s="3">
        <f t="shared" si="2"/>
        <v>4.8601638376932418E-2</v>
      </c>
      <c r="M8" s="3">
        <f t="shared" si="3"/>
        <v>-0.18739848259307837</v>
      </c>
      <c r="N8" s="3">
        <f t="shared" si="4"/>
        <v>-5.9174586277253742E-2</v>
      </c>
      <c r="O8" s="3">
        <f>((H8-C8)/C8)/5</f>
        <v>-3.8807263427540373E-2</v>
      </c>
    </row>
    <row r="9" spans="1:15" x14ac:dyDescent="0.3">
      <c r="A9" s="1" t="s">
        <v>4</v>
      </c>
      <c r="B9" s="1"/>
      <c r="C9" s="21">
        <f>C8/C3</f>
        <v>0.13045093391277629</v>
      </c>
      <c r="D9" s="21">
        <f t="shared" ref="D9:I9" si="9">D8/D3</f>
        <v>0.10892239135583098</v>
      </c>
      <c r="E9" s="3">
        <f t="shared" si="9"/>
        <v>0.13556120637987118</v>
      </c>
      <c r="F9" s="3">
        <f t="shared" si="9"/>
        <v>0.15120458013822158</v>
      </c>
      <c r="G9" s="3">
        <f t="shared" si="9"/>
        <v>0.13099331192304298</v>
      </c>
      <c r="H9" s="3">
        <f t="shared" si="9"/>
        <v>0.10461958969862124</v>
      </c>
      <c r="I9" s="3">
        <f t="shared" si="9"/>
        <v>0.12043568352527236</v>
      </c>
      <c r="J9" s="7"/>
      <c r="K9" s="3"/>
      <c r="L9" s="3"/>
      <c r="M9" s="3"/>
      <c r="N9" s="3"/>
      <c r="O9" s="3"/>
    </row>
    <row r="10" spans="1:15" s="12" customFormat="1" x14ac:dyDescent="0.3">
      <c r="A10" s="6" t="s">
        <v>1</v>
      </c>
      <c r="B10" s="24" t="s">
        <v>84</v>
      </c>
      <c r="C10" s="27">
        <f>C8+62.072</f>
        <v>299.81100000000004</v>
      </c>
      <c r="D10" s="27">
        <f>D8+66.427</f>
        <v>254.5400000000003</v>
      </c>
      <c r="E10" s="13">
        <f>E8+68.01</f>
        <v>300.976</v>
      </c>
      <c r="F10" s="13">
        <f>F8+67.11</f>
        <v>338.68900000000019</v>
      </c>
      <c r="G10" s="9">
        <f>G8+73.98</f>
        <v>309.77700000000004</v>
      </c>
      <c r="H10" s="9">
        <f>H8+83.47</f>
        <v>275.07899999999995</v>
      </c>
      <c r="I10" s="9">
        <f>I8+96.64</f>
        <v>330.46599999999978</v>
      </c>
      <c r="J10" s="10">
        <f t="shared" si="0"/>
        <v>0.20134943052722978</v>
      </c>
      <c r="K10" s="11">
        <f t="shared" si="1"/>
        <v>-8.0929702470411962E-3</v>
      </c>
      <c r="L10" s="11">
        <f t="shared" si="2"/>
        <v>5.9657421230454456E-2</v>
      </c>
      <c r="M10" s="11">
        <f t="shared" si="3"/>
        <v>-0.11200960691077803</v>
      </c>
      <c r="N10" s="11">
        <f t="shared" si="4"/>
        <v>-2.8681135151418551E-2</v>
      </c>
      <c r="O10" s="11">
        <f>((H10-C10)/C10)/5</f>
        <v>-1.649839398821263E-2</v>
      </c>
    </row>
    <row r="11" spans="1:15" s="12" customFormat="1" x14ac:dyDescent="0.3">
      <c r="A11" s="6" t="s">
        <v>19</v>
      </c>
      <c r="B11" s="6"/>
      <c r="C11" s="28">
        <f>C10/C3</f>
        <v>0.16451076578652796</v>
      </c>
      <c r="D11" s="28">
        <f t="shared" ref="D11:I11" si="10">D10/D3</f>
        <v>0.14738537738334517</v>
      </c>
      <c r="E11" s="11">
        <f t="shared" si="10"/>
        <v>0.17513572646389647</v>
      </c>
      <c r="F11" s="11">
        <f t="shared" si="10"/>
        <v>0.18856880702275994</v>
      </c>
      <c r="G11" s="11">
        <f t="shared" si="10"/>
        <v>0.17209173648343484</v>
      </c>
      <c r="H11" s="11">
        <f t="shared" si="10"/>
        <v>0.15019467830168229</v>
      </c>
      <c r="I11" s="11">
        <f t="shared" si="10"/>
        <v>0.17021160432057453</v>
      </c>
      <c r="J11" s="10"/>
      <c r="K11" s="11"/>
      <c r="L11" s="11"/>
      <c r="M11" s="11"/>
      <c r="N11" s="11"/>
      <c r="O11" s="11"/>
    </row>
    <row r="12" spans="1:15" x14ac:dyDescent="0.3">
      <c r="A12" s="1" t="s">
        <v>85</v>
      </c>
      <c r="B12" s="1"/>
      <c r="C12" s="31">
        <f>(100+650.09-457.441)/C10</f>
        <v>0.97611161698536753</v>
      </c>
      <c r="D12" s="31">
        <f>(605.007-363.806)/D10</f>
        <v>0.94759566276420082</v>
      </c>
      <c r="E12" s="31">
        <v>1.02</v>
      </c>
      <c r="F12" s="15">
        <v>0.56000000000000005</v>
      </c>
      <c r="G12" s="15">
        <v>1.24</v>
      </c>
      <c r="H12" s="15">
        <v>2.48</v>
      </c>
      <c r="I12" s="15">
        <v>2.5099999999999998</v>
      </c>
      <c r="J12" s="7"/>
      <c r="K12" s="3"/>
      <c r="L12" s="3"/>
      <c r="M12" s="3"/>
      <c r="N12" s="3"/>
      <c r="O12" s="3"/>
    </row>
    <row r="13" spans="1:15" x14ac:dyDescent="0.3">
      <c r="A13" s="1"/>
      <c r="B13" s="1"/>
      <c r="C13" s="22"/>
      <c r="D13" s="22"/>
      <c r="E13" s="1"/>
      <c r="F13" s="1"/>
      <c r="G13" s="1"/>
      <c r="H13" s="1"/>
      <c r="I13" s="1"/>
      <c r="J13" s="7"/>
      <c r="K13" s="3"/>
      <c r="L13" s="3"/>
      <c r="M13" s="3"/>
      <c r="N13" s="3"/>
      <c r="O13" s="3"/>
    </row>
    <row r="14" spans="1:15" x14ac:dyDescent="0.3">
      <c r="A14" s="1"/>
      <c r="B14" s="1"/>
      <c r="C14" s="22"/>
      <c r="D14" s="22"/>
      <c r="E14" s="1"/>
      <c r="F14" s="1"/>
      <c r="G14" s="1"/>
      <c r="H14" s="1"/>
      <c r="I14" s="1"/>
      <c r="J14" s="7"/>
      <c r="K14" s="3"/>
      <c r="L14" s="3"/>
      <c r="M14" s="3"/>
      <c r="N14" s="3"/>
      <c r="O14" s="3"/>
    </row>
    <row r="15" spans="1:15" x14ac:dyDescent="0.3">
      <c r="A15" s="1" t="s">
        <v>40</v>
      </c>
      <c r="B15" s="1"/>
      <c r="C15" s="19">
        <v>894.69</v>
      </c>
      <c r="D15" s="19">
        <v>826.77800000000002</v>
      </c>
      <c r="E15" s="2">
        <v>853.48900000000003</v>
      </c>
      <c r="F15" s="2">
        <v>934.39499999999998</v>
      </c>
      <c r="G15" s="2">
        <v>939.21699999999998</v>
      </c>
      <c r="H15" s="2">
        <v>948.83900000000006</v>
      </c>
      <c r="I15" s="2">
        <v>1015.349</v>
      </c>
      <c r="J15" s="7">
        <f t="shared" si="0"/>
        <v>7.0096191240031219E-2</v>
      </c>
      <c r="K15" s="3">
        <f t="shared" si="1"/>
        <v>2.887929266174015E-2</v>
      </c>
      <c r="L15" s="3">
        <f t="shared" si="2"/>
        <v>4.5615872701015268E-2</v>
      </c>
      <c r="M15" s="3">
        <f t="shared" si="3"/>
        <v>1.0244703833086573E-2</v>
      </c>
      <c r="N15" s="3">
        <f t="shared" si="4"/>
        <v>3.7239300486981486E-2</v>
      </c>
      <c r="O15" s="3">
        <f>((H15-C15)/C15)/5</f>
        <v>1.2104527825280265E-2</v>
      </c>
    </row>
    <row r="16" spans="1:15" x14ac:dyDescent="0.3">
      <c r="A16" s="22" t="s">
        <v>39</v>
      </c>
      <c r="B16" s="22"/>
      <c r="C16" s="19">
        <v>894.69</v>
      </c>
      <c r="D16" s="19">
        <v>826.77800000000002</v>
      </c>
      <c r="E16" s="19">
        <v>834.423</v>
      </c>
      <c r="F16" s="19">
        <v>901.48800000000006</v>
      </c>
      <c r="G16" s="19">
        <v>903.24900000000002</v>
      </c>
      <c r="H16" s="19">
        <v>908.952</v>
      </c>
      <c r="I16" s="19">
        <v>972.51199999999994</v>
      </c>
      <c r="J16" s="20">
        <f t="shared" si="0"/>
        <v>6.9926684797436994E-2</v>
      </c>
      <c r="K16" s="21">
        <f t="shared" si="1"/>
        <v>2.6261765732507394E-2</v>
      </c>
      <c r="L16" s="21">
        <f t="shared" si="2"/>
        <v>3.5253477959016788E-2</v>
      </c>
      <c r="M16" s="21">
        <f t="shared" si="3"/>
        <v>6.313873583031893E-3</v>
      </c>
      <c r="N16" s="21">
        <f t="shared" si="4"/>
        <v>2.9772669257678658E-2</v>
      </c>
      <c r="O16" s="21">
        <f>((H16-C16)/C16)/5</f>
        <v>3.1881433792710196E-3</v>
      </c>
    </row>
    <row r="17" spans="1:15" x14ac:dyDescent="0.3">
      <c r="A17" s="1" t="s">
        <v>38</v>
      </c>
      <c r="B17" s="1"/>
      <c r="C17" s="21">
        <f t="shared" ref="C17:I17" si="11">C16/C3</f>
        <v>0.4909297425429644</v>
      </c>
      <c r="D17" s="21">
        <f t="shared" si="11"/>
        <v>0.47872628090770492</v>
      </c>
      <c r="E17" s="3">
        <f t="shared" si="11"/>
        <v>0.48554462243894492</v>
      </c>
      <c r="F17" s="3">
        <f t="shared" si="11"/>
        <v>0.50191330898060971</v>
      </c>
      <c r="G17" s="3">
        <f t="shared" si="11"/>
        <v>0.50178576487901294</v>
      </c>
      <c r="H17" s="3">
        <f t="shared" si="11"/>
        <v>0.49629289488354522</v>
      </c>
      <c r="I17" s="3">
        <f t="shared" si="11"/>
        <v>0.50090728771193005</v>
      </c>
      <c r="J17" s="7">
        <f t="shared" si="0"/>
        <v>9.2977209143153099E-3</v>
      </c>
      <c r="K17" s="3">
        <f t="shared" si="1"/>
        <v>-6.6812418976157156E-4</v>
      </c>
      <c r="L17" s="3">
        <f t="shared" si="2"/>
        <v>9.2666760480197979E-3</v>
      </c>
      <c r="M17" s="3">
        <f t="shared" si="3"/>
        <v>-1.0946643727113545E-2</v>
      </c>
      <c r="N17" s="3">
        <f t="shared" si="4"/>
        <v>7.3788428827341211E-3</v>
      </c>
      <c r="O17" s="3">
        <f>((H17-C17)/C17)/5</f>
        <v>2.1848960760862679E-3</v>
      </c>
    </row>
    <row r="18" spans="1:15" x14ac:dyDescent="0.3">
      <c r="A18" s="1" t="s">
        <v>42</v>
      </c>
      <c r="B18" s="1"/>
      <c r="C18" s="19">
        <v>302.12900000000002</v>
      </c>
      <c r="D18" s="19">
        <v>252.11</v>
      </c>
      <c r="E18" s="2">
        <v>252.28800000000001</v>
      </c>
      <c r="F18" s="2">
        <v>271.32600000000002</v>
      </c>
      <c r="G18" s="2">
        <v>260.88400000000001</v>
      </c>
      <c r="H18" s="2">
        <v>265.35300000000001</v>
      </c>
      <c r="I18" s="2">
        <v>273.02300000000002</v>
      </c>
      <c r="J18" s="7"/>
      <c r="K18" s="3"/>
      <c r="L18" s="3"/>
      <c r="M18" s="3"/>
      <c r="N18" s="3"/>
      <c r="O18" s="3"/>
    </row>
    <row r="19" spans="1:15" x14ac:dyDescent="0.3">
      <c r="A19" s="1" t="s">
        <v>43</v>
      </c>
      <c r="B19" s="1"/>
      <c r="C19" s="21">
        <f t="shared" ref="C19:F19" si="12">C18/C15</f>
        <v>0.33769126736635036</v>
      </c>
      <c r="D19" s="21">
        <f t="shared" si="12"/>
        <v>0.30493070691285934</v>
      </c>
      <c r="E19" s="3">
        <f t="shared" si="12"/>
        <v>0.29559607680942579</v>
      </c>
      <c r="F19" s="3">
        <f t="shared" si="12"/>
        <v>0.29037612572841254</v>
      </c>
      <c r="G19" s="3">
        <f>G18/G15</f>
        <v>0.27776754466752629</v>
      </c>
      <c r="H19" s="3">
        <f>H18/H15</f>
        <v>0.27966072220893112</v>
      </c>
      <c r="I19" s="3">
        <f>I18/I15</f>
        <v>0.26889571959986175</v>
      </c>
      <c r="J19" s="7"/>
      <c r="K19" s="3"/>
      <c r="L19" s="3"/>
      <c r="M19" s="3"/>
      <c r="N19" s="3"/>
      <c r="O19" s="3"/>
    </row>
    <row r="20" spans="1:15" x14ac:dyDescent="0.3">
      <c r="A20" s="1" t="s">
        <v>31</v>
      </c>
      <c r="B20" s="1"/>
      <c r="C20" s="19">
        <v>26.084</v>
      </c>
      <c r="D20" s="19">
        <v>26.41</v>
      </c>
      <c r="E20" s="2">
        <v>29.33</v>
      </c>
      <c r="F20" s="2">
        <v>33.655000000000001</v>
      </c>
      <c r="G20" s="2">
        <v>60.889000000000003</v>
      </c>
      <c r="H20" s="2">
        <v>69.495000000000005</v>
      </c>
      <c r="I20" s="2">
        <v>83.866</v>
      </c>
      <c r="J20" s="7">
        <f t="shared" si="0"/>
        <v>0.20679185552917467</v>
      </c>
      <c r="K20" s="3">
        <f t="shared" si="1"/>
        <v>0.49731094933887982</v>
      </c>
      <c r="L20" s="3">
        <f t="shared" si="2"/>
        <v>0.43510791366906476</v>
      </c>
      <c r="M20" s="3">
        <f t="shared" si="3"/>
        <v>0.14133915814022238</v>
      </c>
      <c r="N20" s="3">
        <f t="shared" si="4"/>
        <v>0.45647232640072749</v>
      </c>
      <c r="O20" s="3">
        <f>((H20-C20)/C20)/5</f>
        <v>0.33285539027756478</v>
      </c>
    </row>
    <row r="22" spans="1:15" x14ac:dyDescent="0.3">
      <c r="A22" s="1" t="s">
        <v>41</v>
      </c>
      <c r="B22" s="1"/>
      <c r="C22" s="32"/>
      <c r="D22" s="32"/>
      <c r="E22" s="8">
        <f t="shared" ref="E22:F22" si="13">E23+E25+E27</f>
        <v>834.423</v>
      </c>
      <c r="F22" s="8">
        <f t="shared" si="13"/>
        <v>901.48799999999994</v>
      </c>
      <c r="G22" s="8">
        <f>G16</f>
        <v>903.24900000000002</v>
      </c>
    </row>
    <row r="23" spans="1:15" x14ac:dyDescent="0.3">
      <c r="A23" s="1" t="s">
        <v>6</v>
      </c>
      <c r="B23" s="1"/>
      <c r="C23" s="19"/>
      <c r="D23" s="19"/>
      <c r="E23" s="2">
        <v>164.07</v>
      </c>
      <c r="F23" s="2">
        <v>181.80600000000001</v>
      </c>
      <c r="G23" s="19">
        <v>185.619</v>
      </c>
    </row>
    <row r="24" spans="1:15" x14ac:dyDescent="0.3">
      <c r="A24" s="1" t="s">
        <v>44</v>
      </c>
      <c r="B24" s="1"/>
      <c r="C24" s="21"/>
      <c r="D24" s="21"/>
      <c r="E24" s="3">
        <f t="shared" ref="E24:G24" si="14">E23/E22</f>
        <v>0.19662689067774977</v>
      </c>
      <c r="F24" s="3">
        <f t="shared" si="14"/>
        <v>0.20167323358713596</v>
      </c>
      <c r="G24" s="3">
        <f t="shared" si="14"/>
        <v>0.20550147301574648</v>
      </c>
    </row>
    <row r="25" spans="1:15" x14ac:dyDescent="0.3">
      <c r="A25" s="1" t="s">
        <v>7</v>
      </c>
      <c r="B25" s="1"/>
      <c r="C25" s="19"/>
      <c r="D25" s="19"/>
      <c r="E25" s="2">
        <v>30.632999999999999</v>
      </c>
      <c r="F25" s="2">
        <v>41.997</v>
      </c>
      <c r="G25" s="19">
        <v>54.670999999999999</v>
      </c>
    </row>
    <row r="26" spans="1:15" x14ac:dyDescent="0.3">
      <c r="A26" s="1" t="s">
        <v>44</v>
      </c>
      <c r="B26" s="1"/>
      <c r="C26" s="21"/>
      <c r="D26" s="21"/>
      <c r="E26" s="3">
        <f t="shared" ref="E26:G26" si="15">E25/E22</f>
        <v>3.6711595917178694E-2</v>
      </c>
      <c r="F26" s="3">
        <f t="shared" si="15"/>
        <v>4.6586310633086631E-2</v>
      </c>
      <c r="G26" s="3">
        <f t="shared" si="15"/>
        <v>6.0527052894606026E-2</v>
      </c>
    </row>
    <row r="27" spans="1:15" x14ac:dyDescent="0.3">
      <c r="A27" s="1" t="s">
        <v>8</v>
      </c>
      <c r="B27" s="1"/>
      <c r="C27" s="19"/>
      <c r="D27" s="19"/>
      <c r="E27" s="2">
        <v>639.72</v>
      </c>
      <c r="F27" s="2">
        <v>677.68499999999995</v>
      </c>
      <c r="G27" s="19">
        <v>661.05499999999995</v>
      </c>
    </row>
    <row r="28" spans="1:15" x14ac:dyDescent="0.3">
      <c r="A28" s="1" t="s">
        <v>44</v>
      </c>
      <c r="B28" s="1"/>
      <c r="C28" s="21"/>
      <c r="D28" s="21"/>
      <c r="E28" s="3">
        <f t="shared" ref="E28:G28" si="16">E27/E22</f>
        <v>0.7666615134050716</v>
      </c>
      <c r="F28" s="3">
        <f t="shared" si="16"/>
        <v>0.75174045577977744</v>
      </c>
      <c r="G28" s="3">
        <f t="shared" si="16"/>
        <v>0.73186352821868605</v>
      </c>
    </row>
    <row r="30" spans="1:15" x14ac:dyDescent="0.3">
      <c r="A30" t="s">
        <v>81</v>
      </c>
    </row>
  </sheetData>
  <mergeCells count="2">
    <mergeCell ref="J1:L1"/>
    <mergeCell ref="M1:O1"/>
  </mergeCells>
  <phoneticPr fontId="6" type="noConversion"/>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A6CC4-8A4F-46FC-857D-E47B60BCB37D}">
  <dimension ref="A1:O26"/>
  <sheetViews>
    <sheetView workbookViewId="0"/>
  </sheetViews>
  <sheetFormatPr defaultRowHeight="14.4" x14ac:dyDescent="0.3"/>
  <cols>
    <col min="1" max="1" width="46.21875" bestFit="1" customWidth="1"/>
    <col min="2" max="2" width="89.88671875" customWidth="1"/>
  </cols>
  <sheetData>
    <row r="1" spans="1:15" ht="23.4" x14ac:dyDescent="0.45">
      <c r="A1" s="34" t="s">
        <v>74</v>
      </c>
      <c r="B1" s="6" t="s">
        <v>63</v>
      </c>
      <c r="D1" s="6"/>
      <c r="E1" s="6"/>
      <c r="F1" s="6"/>
      <c r="G1" s="6"/>
      <c r="H1" s="6"/>
      <c r="I1" s="6"/>
      <c r="J1" s="36" t="s">
        <v>23</v>
      </c>
      <c r="K1" s="36"/>
      <c r="L1" s="36"/>
      <c r="M1" s="36" t="s">
        <v>24</v>
      </c>
      <c r="N1" s="36"/>
      <c r="O1" s="36"/>
    </row>
    <row r="2" spans="1:15" x14ac:dyDescent="0.3">
      <c r="B2" s="6" t="s">
        <v>68</v>
      </c>
      <c r="C2" s="6" t="s">
        <v>10</v>
      </c>
      <c r="D2" s="6" t="s">
        <v>11</v>
      </c>
      <c r="E2" s="6" t="s">
        <v>12</v>
      </c>
      <c r="F2" s="6" t="s">
        <v>13</v>
      </c>
      <c r="G2" s="6" t="s">
        <v>14</v>
      </c>
      <c r="H2" s="6" t="s">
        <v>15</v>
      </c>
      <c r="I2" s="6" t="s">
        <v>16</v>
      </c>
      <c r="J2" s="6" t="s">
        <v>20</v>
      </c>
      <c r="K2" s="6" t="s">
        <v>21</v>
      </c>
      <c r="L2" s="6" t="s">
        <v>22</v>
      </c>
      <c r="M2" s="6" t="s">
        <v>20</v>
      </c>
      <c r="N2" s="6" t="s">
        <v>21</v>
      </c>
      <c r="O2" s="6" t="s">
        <v>22</v>
      </c>
    </row>
    <row r="3" spans="1:15" x14ac:dyDescent="0.3">
      <c r="A3" s="1" t="s">
        <v>49</v>
      </c>
      <c r="B3" s="1"/>
      <c r="C3" s="15">
        <v>530.71600000000001</v>
      </c>
      <c r="D3" s="15">
        <v>535.74599999999998</v>
      </c>
      <c r="E3" s="15">
        <v>552.68200000000002</v>
      </c>
      <c r="F3" s="15">
        <v>569.04700000000003</v>
      </c>
      <c r="G3" s="15">
        <v>605.04600000000005</v>
      </c>
      <c r="H3" s="15">
        <v>629.08900000000006</v>
      </c>
      <c r="I3" s="15">
        <f>632.1</f>
        <v>632.1</v>
      </c>
      <c r="J3" s="7">
        <f>(I3-H3)/H3</f>
        <v>4.7862862011574941E-3</v>
      </c>
      <c r="K3" s="3">
        <f>((I3-F3)/F3)/3</f>
        <v>3.6934851895654777E-2</v>
      </c>
      <c r="L3" s="3">
        <f>((I3-D3)/D3)/5</f>
        <v>3.5970030574190029E-2</v>
      </c>
      <c r="M3" s="3">
        <f>(H3-G3)/G3</f>
        <v>3.9737474506070618E-2</v>
      </c>
      <c r="N3" s="3">
        <f>((H3-E3)/E3)/3</f>
        <v>4.6082557419999226E-2</v>
      </c>
      <c r="O3" s="3">
        <f>((H3-C3)/C3)/5</f>
        <v>3.7071804882460688E-2</v>
      </c>
    </row>
    <row r="4" spans="1:15" x14ac:dyDescent="0.3">
      <c r="A4" s="1" t="s">
        <v>59</v>
      </c>
      <c r="B4" s="1"/>
      <c r="C4" s="15">
        <f>512.57-C5</f>
        <v>467.66400000000004</v>
      </c>
      <c r="D4" s="15">
        <f>525.308-D5</f>
        <v>476.61199999999997</v>
      </c>
      <c r="E4" s="15">
        <f>529.823-E5</f>
        <v>468.87599999999998</v>
      </c>
      <c r="F4" s="15">
        <f>547.167-F5</f>
        <v>481.76600000000002</v>
      </c>
      <c r="G4" s="15">
        <f>562.957-G5</f>
        <v>468.529</v>
      </c>
      <c r="H4" s="15">
        <f>593.595-H5</f>
        <v>494.86800000000005</v>
      </c>
      <c r="I4" s="15">
        <f>569.629-99.3</f>
        <v>470.32900000000001</v>
      </c>
      <c r="J4" s="7">
        <f t="shared" ref="J4:J6" si="0">(I4-H4)/H4</f>
        <v>-4.9586960563220983E-2</v>
      </c>
      <c r="K4" s="3">
        <f t="shared" ref="K4:K6" si="1">((I4-F4)/F4)/3</f>
        <v>-7.9132469566829903E-3</v>
      </c>
      <c r="L4" s="3">
        <f t="shared" ref="L4:L6" si="2">((I4-D4)/D4)/5</f>
        <v>-2.63652614705461E-3</v>
      </c>
      <c r="M4" s="3">
        <f t="shared" ref="M4:M6" si="3">(H4-G4)/G4</f>
        <v>5.6216370811625442E-2</v>
      </c>
      <c r="N4" s="3">
        <f t="shared" ref="N4:N6" si="4">((H4-E4)/E4)/3</f>
        <v>1.8478233050955958E-2</v>
      </c>
      <c r="O4" s="3">
        <f t="shared" ref="O4:O6" si="5">((H4-C4)/C4)/5</f>
        <v>1.1633993636456947E-2</v>
      </c>
    </row>
    <row r="5" spans="1:15" x14ac:dyDescent="0.3">
      <c r="A5" s="1" t="s">
        <v>55</v>
      </c>
      <c r="B5" s="1"/>
      <c r="C5" s="15">
        <v>44.905999999999999</v>
      </c>
      <c r="D5" s="15">
        <v>48.695999999999998</v>
      </c>
      <c r="E5" s="15">
        <f>50.238+3.059+7.65</f>
        <v>60.946999999999996</v>
      </c>
      <c r="F5" s="15">
        <f>55.114+2.167+8.12</f>
        <v>65.400999999999996</v>
      </c>
      <c r="G5" s="15">
        <f>49.408+23.118+21.902</f>
        <v>94.427999999999997</v>
      </c>
      <c r="H5" s="15">
        <f>52.938+23.16+22.629</f>
        <v>98.727000000000004</v>
      </c>
      <c r="I5" s="15">
        <f>55.521+23.256+20.512</f>
        <v>99.289000000000001</v>
      </c>
      <c r="J5" s="7">
        <f t="shared" si="0"/>
        <v>5.6924650804744152E-3</v>
      </c>
      <c r="K5" s="3">
        <f t="shared" si="1"/>
        <v>0.17271907157382918</v>
      </c>
      <c r="L5" s="3">
        <f t="shared" si="2"/>
        <v>0.20779119434861185</v>
      </c>
      <c r="M5" s="3">
        <f t="shared" si="3"/>
        <v>4.5526750540094113E-2</v>
      </c>
      <c r="N5" s="3">
        <f t="shared" si="4"/>
        <v>0.20662761634425544</v>
      </c>
      <c r="O5" s="3">
        <f t="shared" si="5"/>
        <v>0.23970516189373359</v>
      </c>
    </row>
    <row r="6" spans="1:15" x14ac:dyDescent="0.3">
      <c r="A6" s="1" t="s">
        <v>56</v>
      </c>
      <c r="B6" s="1" t="s">
        <v>69</v>
      </c>
      <c r="C6" s="15">
        <f t="shared" ref="C6:I6" si="6">C3-C4-C5</f>
        <v>18.145999999999965</v>
      </c>
      <c r="D6" s="15">
        <f t="shared" si="6"/>
        <v>10.438000000000017</v>
      </c>
      <c r="E6" s="15">
        <f t="shared" si="6"/>
        <v>22.859000000000044</v>
      </c>
      <c r="F6" s="15">
        <f t="shared" si="6"/>
        <v>21.88000000000001</v>
      </c>
      <c r="G6" s="15">
        <f t="shared" si="6"/>
        <v>42.089000000000055</v>
      </c>
      <c r="H6" s="15">
        <f t="shared" si="6"/>
        <v>35.494</v>
      </c>
      <c r="I6" s="15">
        <f t="shared" si="6"/>
        <v>62.482000000000014</v>
      </c>
      <c r="J6" s="7">
        <f t="shared" si="0"/>
        <v>0.76035386262466931</v>
      </c>
      <c r="K6" s="3">
        <f t="shared" si="1"/>
        <v>0.61855575868372925</v>
      </c>
      <c r="L6" s="3">
        <f t="shared" si="2"/>
        <v>0.9972025292201554</v>
      </c>
      <c r="M6" s="3">
        <f t="shared" si="3"/>
        <v>-0.15669177219701222</v>
      </c>
      <c r="N6" s="3">
        <f t="shared" si="4"/>
        <v>0.18424544672411933</v>
      </c>
      <c r="O6" s="3">
        <f t="shared" si="5"/>
        <v>0.19120467320621698</v>
      </c>
    </row>
    <row r="7" spans="1:15" x14ac:dyDescent="0.3">
      <c r="A7" s="1" t="s">
        <v>64</v>
      </c>
      <c r="B7" s="1"/>
      <c r="C7" s="14">
        <f t="shared" ref="C7:G7" si="7">C6/C3</f>
        <v>3.419154500712239E-2</v>
      </c>
      <c r="D7" s="14">
        <f t="shared" si="7"/>
        <v>1.9483113266361329E-2</v>
      </c>
      <c r="E7" s="14">
        <f t="shared" si="7"/>
        <v>4.1360131142320615E-2</v>
      </c>
      <c r="F7" s="14">
        <f t="shared" si="7"/>
        <v>3.8450251033745907E-2</v>
      </c>
      <c r="G7" s="14">
        <f t="shared" si="7"/>
        <v>6.9563305930458272E-2</v>
      </c>
      <c r="H7" s="14">
        <f>H6/H3</f>
        <v>5.6421269486511445E-2</v>
      </c>
      <c r="I7" s="14">
        <f>I6/I3</f>
        <v>9.8848283499446313E-2</v>
      </c>
      <c r="J7" s="1"/>
      <c r="K7" s="1"/>
      <c r="L7" s="1"/>
      <c r="M7" s="1"/>
      <c r="N7" s="1"/>
      <c r="O7" s="1"/>
    </row>
    <row r="8" spans="1:15" x14ac:dyDescent="0.3">
      <c r="A8" s="1"/>
      <c r="B8" s="1"/>
      <c r="C8" s="1"/>
      <c r="D8" s="1"/>
      <c r="E8" s="1"/>
      <c r="F8" s="1"/>
      <c r="G8" s="1"/>
      <c r="H8" s="1"/>
      <c r="I8" s="1"/>
      <c r="J8" s="1"/>
      <c r="K8" s="1"/>
      <c r="L8" s="1"/>
      <c r="M8" s="1"/>
      <c r="N8" s="1"/>
      <c r="O8" s="1"/>
    </row>
    <row r="9" spans="1:15" x14ac:dyDescent="0.3">
      <c r="A9" s="6" t="s">
        <v>57</v>
      </c>
      <c r="B9" s="1"/>
      <c r="C9" s="15">
        <f>436.084+4.74</f>
        <v>440.82400000000001</v>
      </c>
      <c r="D9" s="15">
        <f>447.01+3.859</f>
        <v>450.86899999999997</v>
      </c>
      <c r="E9" s="15">
        <f>461.498+3.184</f>
        <v>464.68200000000002</v>
      </c>
      <c r="F9" s="15">
        <f>485.879+2.801</f>
        <v>488.68</v>
      </c>
      <c r="G9" s="15">
        <v>522.04899999999998</v>
      </c>
      <c r="H9" s="15">
        <v>545.73</v>
      </c>
      <c r="I9" s="15">
        <v>577.92700000000002</v>
      </c>
      <c r="J9" s="7">
        <f t="shared" ref="J9:J13" si="8">(I9-H9)/H9</f>
        <v>5.8998039323474978E-2</v>
      </c>
      <c r="K9" s="3">
        <f t="shared" ref="K9:K13" si="9">((I9-F9)/F9)/3</f>
        <v>6.0876238028976022E-2</v>
      </c>
      <c r="L9" s="3">
        <f t="shared" ref="L9:L13" si="10">((I9-D9)/D9)/5</f>
        <v>5.6361382130951584E-2</v>
      </c>
      <c r="M9" s="3">
        <f t="shared" ref="M9:M13" si="11">(H9-G9)/G9</f>
        <v>4.5361642297945287E-2</v>
      </c>
      <c r="N9" s="3">
        <f t="shared" ref="N9:N13" si="12">((H9-E9)/E9)/3</f>
        <v>5.813868408933421E-2</v>
      </c>
      <c r="O9" s="3">
        <f t="shared" ref="O9:O13" si="13">((H9-C9)/C9)/5</f>
        <v>4.7595412228009365E-2</v>
      </c>
    </row>
    <row r="10" spans="1:15" x14ac:dyDescent="0.3">
      <c r="A10" s="1" t="s">
        <v>58</v>
      </c>
      <c r="B10" s="1"/>
      <c r="C10" s="3">
        <f t="shared" ref="C10:G10" si="14">C9/C3</f>
        <v>0.83062127390167251</v>
      </c>
      <c r="D10" s="3">
        <f t="shared" si="14"/>
        <v>0.841572312252448</v>
      </c>
      <c r="E10" s="3">
        <f t="shared" si="14"/>
        <v>0.8407764320169645</v>
      </c>
      <c r="F10" s="3">
        <f t="shared" si="14"/>
        <v>0.8587691350626574</v>
      </c>
      <c r="G10" s="3">
        <f t="shared" si="14"/>
        <v>0.86282530584451422</v>
      </c>
      <c r="H10" s="3">
        <f>H9/H3</f>
        <v>0.86749251695706009</v>
      </c>
      <c r="I10" s="3">
        <f>I9/I3</f>
        <v>0.91429678848283502</v>
      </c>
      <c r="J10" s="7">
        <f t="shared" si="8"/>
        <v>5.3953516152453092E-2</v>
      </c>
      <c r="K10" s="3">
        <f t="shared" si="9"/>
        <v>2.1553194043676716E-2</v>
      </c>
      <c r="L10" s="3">
        <f t="shared" si="10"/>
        <v>1.7283001156666318E-2</v>
      </c>
      <c r="M10" s="3">
        <f t="shared" si="11"/>
        <v>5.4092190863337082E-3</v>
      </c>
      <c r="N10" s="3">
        <f t="shared" si="12"/>
        <v>1.0591830726433639E-2</v>
      </c>
      <c r="O10" s="3">
        <f t="shared" si="13"/>
        <v>8.877991501997657E-3</v>
      </c>
    </row>
    <row r="11" spans="1:15" x14ac:dyDescent="0.3">
      <c r="A11" s="1" t="s">
        <v>60</v>
      </c>
      <c r="B11" s="1"/>
      <c r="C11" s="15">
        <v>382.18</v>
      </c>
      <c r="D11" s="15">
        <v>376.13600000000002</v>
      </c>
      <c r="E11" s="15">
        <v>384.85300000000001</v>
      </c>
      <c r="F11" s="15">
        <v>399.65499999999997</v>
      </c>
      <c r="G11" s="15">
        <v>375.20100000000002</v>
      </c>
      <c r="H11" s="15">
        <v>395.024</v>
      </c>
      <c r="I11" s="15">
        <v>394.92</v>
      </c>
      <c r="J11" s="7">
        <f t="shared" si="8"/>
        <v>-2.6327514277609714E-4</v>
      </c>
      <c r="K11" s="3">
        <f t="shared" si="9"/>
        <v>-3.9492395524472835E-3</v>
      </c>
      <c r="L11" s="3">
        <f t="shared" si="10"/>
        <v>9.9878767254397306E-3</v>
      </c>
      <c r="M11" s="3">
        <f t="shared" si="11"/>
        <v>5.283301483738044E-2</v>
      </c>
      <c r="N11" s="3">
        <f t="shared" si="12"/>
        <v>8.8094242043931861E-3</v>
      </c>
      <c r="O11" s="3">
        <f t="shared" si="13"/>
        <v>6.7214401590873383E-3</v>
      </c>
    </row>
    <row r="12" spans="1:15" x14ac:dyDescent="0.3">
      <c r="A12" s="1" t="s">
        <v>61</v>
      </c>
      <c r="B12" s="1"/>
      <c r="C12" s="15">
        <f t="shared" ref="C12:G12" si="15">C5*C10</f>
        <v>37.299878925828502</v>
      </c>
      <c r="D12" s="15">
        <f t="shared" si="15"/>
        <v>40.981205317445209</v>
      </c>
      <c r="E12" s="15">
        <f t="shared" si="15"/>
        <v>51.242801202137933</v>
      </c>
      <c r="F12" s="15">
        <f t="shared" si="15"/>
        <v>56.164360202232857</v>
      </c>
      <c r="G12" s="15">
        <f t="shared" si="15"/>
        <v>81.474867980285794</v>
      </c>
      <c r="H12" s="15">
        <f>H5*H10</f>
        <v>85.64493372161968</v>
      </c>
      <c r="I12" s="15">
        <f>I5*I10</f>
        <v>90.779613831672208</v>
      </c>
      <c r="J12" s="7">
        <f t="shared" si="8"/>
        <v>5.9953109739594106E-2</v>
      </c>
      <c r="K12" s="3">
        <f t="shared" si="9"/>
        <v>0.20544020861152915</v>
      </c>
      <c r="L12" s="3">
        <f t="shared" si="10"/>
        <v>0.24303047276663875</v>
      </c>
      <c r="M12" s="3">
        <f t="shared" si="11"/>
        <v>5.1182233794388021E-2</v>
      </c>
      <c r="N12" s="3">
        <f t="shared" si="12"/>
        <v>0.22378514127786361</v>
      </c>
      <c r="O12" s="3">
        <f t="shared" si="13"/>
        <v>0.25922365534711905</v>
      </c>
    </row>
    <row r="13" spans="1:15" x14ac:dyDescent="0.3">
      <c r="A13" s="1" t="s">
        <v>62</v>
      </c>
      <c r="B13" s="1" t="s">
        <v>69</v>
      </c>
      <c r="C13" s="15">
        <f t="shared" ref="C13:G13" si="16">C9-C12-C11</f>
        <v>21.344121074171483</v>
      </c>
      <c r="D13" s="15">
        <f t="shared" si="16"/>
        <v>33.75179468255476</v>
      </c>
      <c r="E13" s="15">
        <f t="shared" si="16"/>
        <v>28.586198797862096</v>
      </c>
      <c r="F13" s="15">
        <f t="shared" si="16"/>
        <v>32.860639797767192</v>
      </c>
      <c r="G13" s="15">
        <f t="shared" si="16"/>
        <v>65.373132019714149</v>
      </c>
      <c r="H13" s="15">
        <f>H9-H12-H11</f>
        <v>65.061066278380338</v>
      </c>
      <c r="I13" s="15">
        <f>I9-I12-I11</f>
        <v>92.227386168327769</v>
      </c>
      <c r="J13" s="7">
        <f t="shared" si="8"/>
        <v>0.41755110150991709</v>
      </c>
      <c r="K13" s="3">
        <f t="shared" si="9"/>
        <v>0.60220724790021096</v>
      </c>
      <c r="L13" s="3">
        <f t="shared" si="10"/>
        <v>0.3465035980205059</v>
      </c>
      <c r="M13" s="3">
        <f t="shared" si="11"/>
        <v>-4.7736085405806041E-3</v>
      </c>
      <c r="N13" s="3">
        <f t="shared" si="12"/>
        <v>0.42532024793314038</v>
      </c>
      <c r="O13" s="3">
        <f t="shared" si="13"/>
        <v>0.40963921683437904</v>
      </c>
    </row>
    <row r="14" spans="1:15" x14ac:dyDescent="0.3">
      <c r="A14" s="1" t="s">
        <v>65</v>
      </c>
      <c r="B14" s="1"/>
      <c r="C14" s="14">
        <f t="shared" ref="C14:G14" si="17">C13/C3</f>
        <v>4.0217594860851157E-2</v>
      </c>
      <c r="D14" s="14">
        <f t="shared" si="17"/>
        <v>6.299962049656882E-2</v>
      </c>
      <c r="E14" s="14">
        <f t="shared" si="17"/>
        <v>5.1722688268954112E-2</v>
      </c>
      <c r="F14" s="14">
        <f t="shared" si="17"/>
        <v>5.7746793846144853E-2</v>
      </c>
      <c r="G14" s="14">
        <f t="shared" si="17"/>
        <v>0.10804654855947175</v>
      </c>
      <c r="H14" s="14">
        <f>H13/H3</f>
        <v>0.10342108394580152</v>
      </c>
      <c r="I14" s="14">
        <f>I13/I3</f>
        <v>0.14590632205082704</v>
      </c>
      <c r="J14" s="1"/>
      <c r="K14" s="1"/>
      <c r="L14" s="1"/>
      <c r="M14" s="1"/>
      <c r="N14" s="1"/>
      <c r="O14" s="1"/>
    </row>
    <row r="15" spans="1:15" x14ac:dyDescent="0.3">
      <c r="A15" s="1" t="s">
        <v>66</v>
      </c>
      <c r="B15" s="1"/>
      <c r="C15" s="3">
        <f>C13/C6</f>
        <v>1.1762438594826146</v>
      </c>
      <c r="D15" s="3">
        <f t="shared" ref="D15:G15" si="18">D13/D6</f>
        <v>3.2335499791679161</v>
      </c>
      <c r="E15" s="3">
        <f t="shared" si="18"/>
        <v>1.2505445906584733</v>
      </c>
      <c r="F15" s="3">
        <f t="shared" si="18"/>
        <v>1.5018573947791214</v>
      </c>
      <c r="G15" s="3">
        <f t="shared" si="18"/>
        <v>1.5532118135311854</v>
      </c>
      <c r="H15" s="3">
        <f>H13/H6</f>
        <v>1.8330158978526043</v>
      </c>
      <c r="I15" s="3">
        <f>I13/I6</f>
        <v>1.4760632849193007</v>
      </c>
      <c r="J15" s="1"/>
      <c r="K15" s="1"/>
      <c r="L15" s="1"/>
      <c r="M15" s="1"/>
      <c r="N15" s="1"/>
      <c r="O15" s="1"/>
    </row>
    <row r="16" spans="1:15" x14ac:dyDescent="0.3">
      <c r="A16" s="1" t="s">
        <v>67</v>
      </c>
      <c r="B16" s="1"/>
      <c r="C16" s="16">
        <f>C6-C13</f>
        <v>-3.1981210741715174</v>
      </c>
      <c r="D16" s="16">
        <f>D6-D13</f>
        <v>-23.313794682554743</v>
      </c>
      <c r="E16" s="16">
        <f t="shared" ref="E16:G16" si="19">E6-E13</f>
        <v>-5.7271987978620515</v>
      </c>
      <c r="F16" s="16">
        <f t="shared" si="19"/>
        <v>-10.980639797767182</v>
      </c>
      <c r="G16" s="16">
        <f t="shared" si="19"/>
        <v>-23.284132019714093</v>
      </c>
      <c r="H16" s="16">
        <f>H6-H13</f>
        <v>-29.567066278380338</v>
      </c>
      <c r="I16" s="16">
        <f>I6-I13</f>
        <v>-29.745386168327755</v>
      </c>
      <c r="J16" s="1"/>
      <c r="K16" s="1"/>
      <c r="L16" s="1"/>
      <c r="M16" s="1"/>
      <c r="N16" s="1"/>
      <c r="O16" s="1"/>
    </row>
    <row r="17" spans="1:15" x14ac:dyDescent="0.3">
      <c r="A17" s="1"/>
      <c r="B17" s="1"/>
      <c r="C17" s="1"/>
      <c r="D17" s="1"/>
      <c r="E17" s="1"/>
      <c r="F17" s="1"/>
      <c r="G17" s="1"/>
      <c r="H17" s="1"/>
      <c r="I17" s="1"/>
      <c r="J17" s="1"/>
      <c r="K17" s="1"/>
      <c r="L17" s="1"/>
      <c r="M17" s="1"/>
      <c r="N17" s="1"/>
      <c r="O17" s="1"/>
    </row>
    <row r="18" spans="1:15" x14ac:dyDescent="0.3">
      <c r="A18" s="6" t="s">
        <v>75</v>
      </c>
      <c r="B18" s="1"/>
      <c r="C18" s="1"/>
      <c r="D18" s="1"/>
      <c r="E18" s="1"/>
      <c r="F18" s="1"/>
      <c r="G18" s="1"/>
      <c r="H18" s="1"/>
      <c r="I18" s="1"/>
      <c r="J18" s="1"/>
      <c r="K18" s="1"/>
      <c r="L18" s="1"/>
      <c r="M18" s="1"/>
      <c r="N18" s="1"/>
      <c r="O18" s="1"/>
    </row>
    <row r="19" spans="1:15" x14ac:dyDescent="0.3">
      <c r="A19" s="1" t="s">
        <v>50</v>
      </c>
      <c r="B19" s="1"/>
      <c r="C19" s="1"/>
      <c r="D19" s="1"/>
      <c r="E19" s="1"/>
      <c r="F19" s="1"/>
      <c r="G19" s="23">
        <v>182.45599999999999</v>
      </c>
      <c r="H19" s="15">
        <v>195.88800000000001</v>
      </c>
      <c r="I19" s="15">
        <v>199.078</v>
      </c>
      <c r="J19" s="7">
        <f t="shared" ref="J19:J24" si="20">(I19-H19)/H19</f>
        <v>1.6284815813117689E-2</v>
      </c>
      <c r="K19" s="3"/>
      <c r="L19" s="3"/>
      <c r="M19" s="3">
        <f t="shared" ref="M19:M24" si="21">(H19-G19)/G19</f>
        <v>7.3617748936730051E-2</v>
      </c>
      <c r="N19" s="3"/>
      <c r="O19" s="3"/>
    </row>
    <row r="20" spans="1:15" x14ac:dyDescent="0.3">
      <c r="A20" s="1" t="s">
        <v>51</v>
      </c>
      <c r="B20" s="1" t="s">
        <v>70</v>
      </c>
      <c r="C20" s="1"/>
      <c r="D20" s="1"/>
      <c r="E20" s="1"/>
      <c r="F20" s="1"/>
      <c r="G20" s="23">
        <v>103.967</v>
      </c>
      <c r="H20" s="15">
        <v>101.836</v>
      </c>
      <c r="I20" s="15">
        <v>104.233</v>
      </c>
      <c r="J20" s="7">
        <f t="shared" si="20"/>
        <v>2.353784516281085E-2</v>
      </c>
      <c r="K20" s="3"/>
      <c r="L20" s="3"/>
      <c r="M20" s="3">
        <f t="shared" si="21"/>
        <v>-2.0496888435753657E-2</v>
      </c>
      <c r="N20" s="3"/>
      <c r="O20" s="3"/>
    </row>
    <row r="21" spans="1:15" x14ac:dyDescent="0.3">
      <c r="A21" s="1" t="s">
        <v>52</v>
      </c>
      <c r="B21" s="1" t="s">
        <v>71</v>
      </c>
      <c r="C21" s="1"/>
      <c r="D21" s="1"/>
      <c r="E21" s="1"/>
      <c r="F21" s="1"/>
      <c r="G21" s="23">
        <v>34.463000000000001</v>
      </c>
      <c r="H21" s="15">
        <v>38.390999999999998</v>
      </c>
      <c r="I21" s="15">
        <v>37.274000000000001</v>
      </c>
      <c r="J21" s="7">
        <f t="shared" si="20"/>
        <v>-2.9095360891875633E-2</v>
      </c>
      <c r="K21" s="3"/>
      <c r="L21" s="3"/>
      <c r="M21" s="3">
        <f t="shared" si="21"/>
        <v>0.1139773089980558</v>
      </c>
      <c r="N21" s="3"/>
      <c r="O21" s="3"/>
    </row>
    <row r="22" spans="1:15" x14ac:dyDescent="0.3">
      <c r="A22" s="1" t="s">
        <v>5</v>
      </c>
      <c r="B22" s="1"/>
      <c r="C22" s="1"/>
      <c r="D22" s="1"/>
      <c r="E22" s="1"/>
      <c r="F22" s="1"/>
      <c r="G22" s="23">
        <v>25.385999999999999</v>
      </c>
      <c r="H22" s="15">
        <v>26.347999999999999</v>
      </c>
      <c r="I22" s="15">
        <v>26.218</v>
      </c>
      <c r="J22" s="7">
        <f t="shared" si="20"/>
        <v>-4.933960831941666E-3</v>
      </c>
      <c r="K22" s="3"/>
      <c r="L22" s="3"/>
      <c r="M22" s="3">
        <f t="shared" si="21"/>
        <v>3.7894902702276835E-2</v>
      </c>
      <c r="N22" s="3"/>
      <c r="O22" s="3"/>
    </row>
    <row r="23" spans="1:15" x14ac:dyDescent="0.3">
      <c r="A23" s="1" t="s">
        <v>53</v>
      </c>
      <c r="B23" s="1" t="s">
        <v>72</v>
      </c>
      <c r="C23" s="1"/>
      <c r="D23" s="1"/>
      <c r="E23" s="1"/>
      <c r="F23" s="1"/>
      <c r="G23" s="23">
        <v>0.27600000000000002</v>
      </c>
      <c r="H23" s="15">
        <v>0.47399999999999998</v>
      </c>
      <c r="I23" s="15">
        <v>0.39700000000000002</v>
      </c>
      <c r="J23" s="7">
        <f t="shared" si="20"/>
        <v>-0.16244725738396618</v>
      </c>
      <c r="K23" s="3"/>
      <c r="L23" s="3"/>
      <c r="M23" s="3">
        <f t="shared" si="21"/>
        <v>0.71739130434782583</v>
      </c>
      <c r="N23" s="3"/>
      <c r="O23" s="3"/>
    </row>
    <row r="24" spans="1:15" x14ac:dyDescent="0.3">
      <c r="A24" s="1" t="s">
        <v>54</v>
      </c>
      <c r="B24" s="1" t="s">
        <v>73</v>
      </c>
      <c r="C24" s="1"/>
      <c r="D24" s="1"/>
      <c r="E24" s="1"/>
      <c r="F24" s="1"/>
      <c r="G24" s="23">
        <v>28.652999999999999</v>
      </c>
      <c r="H24" s="15">
        <v>32.087000000000003</v>
      </c>
      <c r="I24" s="15">
        <v>27.72</v>
      </c>
      <c r="J24" s="7">
        <f t="shared" si="20"/>
        <v>-0.13609873157353458</v>
      </c>
      <c r="K24" s="3"/>
      <c r="L24" s="3"/>
      <c r="M24" s="3">
        <f t="shared" si="21"/>
        <v>0.11984783443269482</v>
      </c>
      <c r="N24" s="3"/>
      <c r="O24" s="3"/>
    </row>
    <row r="26" spans="1:15" x14ac:dyDescent="0.3">
      <c r="A26" t="s">
        <v>76</v>
      </c>
    </row>
  </sheetData>
  <mergeCells count="2">
    <mergeCell ref="J1:L1"/>
    <mergeCell ref="M1:O1"/>
  </mergeCells>
  <phoneticPr fontId="6" type="noConversion"/>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 ME</vt:lpstr>
      <vt:lpstr>Elsevier 2014-2020</vt:lpstr>
      <vt:lpstr>Wiley 2015-2021</vt:lpstr>
      <vt:lpstr>ACS 2014-2020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Macy, Katharine</dc:creator>
  <cp:lastModifiedBy>Macy, Katharine</cp:lastModifiedBy>
  <dcterms:created xsi:type="dcterms:W3CDTF">2021-07-09T20:55:34Z</dcterms:created>
  <dcterms:modified xsi:type="dcterms:W3CDTF">2021-07-12T16:27:12Z</dcterms:modified>
</cp:coreProperties>
</file>