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vidlewis/Desktop/dwl stuff/papers and talks/Library Trends 1-21/"/>
    </mc:Choice>
  </mc:AlternateContent>
  <xr:revisionPtr revIDLastSave="0" documentId="13_ncr:1_{749EA8E6-1B5E-7F41-B037-883C9456F330}" xr6:coauthVersionLast="36" xr6:coauthVersionMax="36" xr10:uidLastSave="{00000000-0000-0000-0000-000000000000}"/>
  <bookViews>
    <workbookView xWindow="2020" yWindow="500" windowWidth="22020" windowHeight="16280" activeTab="1" xr2:uid="{DD9FC40A-E053-B049-A0E0-CB2781371B44}"/>
  </bookViews>
  <sheets>
    <sheet name="Introduction" sheetId="8" r:id="rId1"/>
    <sheet name="4.0 Budget" sheetId="1" r:id="rId2"/>
    <sheet name="4.1 DDA" sheetId="4" r:id="rId3"/>
    <sheet name="4.2 Article Purchasing" sheetId="5" r:id="rId4"/>
    <sheet name="4.3 OA" sheetId="3" r:id="rId5"/>
    <sheet name="4.4 Web" sheetId="6" r:id="rId6"/>
    <sheet name="4.5 Invest" sheetId="7" r:id="rId7"/>
    <sheet name="Sheet1" sheetId="9" r:id="rId8"/>
  </sheets>
  <definedNames>
    <definedName name="_xlchart.v1.0" hidden="1">'4.0 Budget'!$A$17</definedName>
    <definedName name="_xlchart.v1.1" hidden="1">'4.0 Budget'!$A$18</definedName>
    <definedName name="_xlchart.v1.2" hidden="1">'4.0 Budget'!$A$19</definedName>
    <definedName name="_xlchart.v1.3" hidden="1">'4.0 Budget'!$A$20</definedName>
    <definedName name="_xlchart.v1.4" hidden="1">'4.0 Budget'!$A$21</definedName>
    <definedName name="_xlchart.v1.5" hidden="1">'4.0 Budget'!$B$17:$K$17</definedName>
    <definedName name="_xlchart.v1.6" hidden="1">'4.0 Budget'!$B$18:$K$18</definedName>
    <definedName name="_xlchart.v1.7" hidden="1">'4.0 Budget'!$B$19:$K$19</definedName>
    <definedName name="_xlchart.v1.8" hidden="1">'4.0 Budget'!$B$20:$K$20</definedName>
    <definedName name="_xlchart.v1.9" hidden="1">'4.0 Budget'!$B$21:$K$21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1" l="1"/>
  <c r="D21" i="1"/>
  <c r="E21" i="1"/>
  <c r="F21" i="1"/>
  <c r="G21" i="1"/>
  <c r="H21" i="1"/>
  <c r="I21" i="1"/>
  <c r="J21" i="1"/>
  <c r="K21" i="1"/>
  <c r="B21" i="1"/>
  <c r="C20" i="1"/>
  <c r="D20" i="1"/>
  <c r="E20" i="1"/>
  <c r="F20" i="1"/>
  <c r="G20" i="1"/>
  <c r="H20" i="1"/>
  <c r="I20" i="1"/>
  <c r="J20" i="1"/>
  <c r="K20" i="1"/>
  <c r="B20" i="1"/>
  <c r="C19" i="1"/>
  <c r="D19" i="1"/>
  <c r="E19" i="1"/>
  <c r="F19" i="1"/>
  <c r="G19" i="1"/>
  <c r="H19" i="1"/>
  <c r="I19" i="1"/>
  <c r="J19" i="1"/>
  <c r="K19" i="1"/>
  <c r="B19" i="1"/>
  <c r="C18" i="1"/>
  <c r="D18" i="1"/>
  <c r="E18" i="1"/>
  <c r="F18" i="1"/>
  <c r="G18" i="1"/>
  <c r="H18" i="1"/>
  <c r="I18" i="1"/>
  <c r="J18" i="1"/>
  <c r="K18" i="1"/>
  <c r="B18" i="1"/>
  <c r="C17" i="1"/>
  <c r="D17" i="1"/>
  <c r="E17" i="1"/>
  <c r="F17" i="1"/>
  <c r="G17" i="1"/>
  <c r="H17" i="1"/>
  <c r="I17" i="1"/>
  <c r="J17" i="1"/>
  <c r="K17" i="1"/>
  <c r="B17" i="1"/>
  <c r="M15" i="7"/>
  <c r="L15" i="7"/>
  <c r="C15" i="7"/>
  <c r="D15" i="7"/>
  <c r="E15" i="7"/>
  <c r="F15" i="7"/>
  <c r="G15" i="7"/>
  <c r="H15" i="7"/>
  <c r="I15" i="7"/>
  <c r="J15" i="7"/>
  <c r="K15" i="7"/>
  <c r="B15" i="7"/>
  <c r="L12" i="7"/>
  <c r="M13" i="7"/>
  <c r="L13" i="7"/>
  <c r="H12" i="7"/>
  <c r="I12" i="7" s="1"/>
  <c r="J12" i="7" s="1"/>
  <c r="K12" i="7" s="1"/>
  <c r="G12" i="7"/>
  <c r="G11" i="7" s="1"/>
  <c r="H11" i="7" s="1"/>
  <c r="I11" i="7" s="1"/>
  <c r="J11" i="7" s="1"/>
  <c r="C12" i="7"/>
  <c r="C11" i="7" s="1"/>
  <c r="M11" i="7"/>
  <c r="L11" i="7"/>
  <c r="E10" i="7"/>
  <c r="F10" i="7" s="1"/>
  <c r="G10" i="7" s="1"/>
  <c r="H10" i="7" s="1"/>
  <c r="I10" i="7" s="1"/>
  <c r="J10" i="7" s="1"/>
  <c r="K10" i="7" s="1"/>
  <c r="D10" i="7"/>
  <c r="C10" i="7"/>
  <c r="B6" i="7"/>
  <c r="C6" i="7" s="1"/>
  <c r="D6" i="7" s="1"/>
  <c r="E6" i="7" s="1"/>
  <c r="F6" i="7" s="1"/>
  <c r="G6" i="7" s="1"/>
  <c r="H6" i="7" s="1"/>
  <c r="I6" i="7" s="1"/>
  <c r="J6" i="7" s="1"/>
  <c r="K6" i="7" s="1"/>
  <c r="C5" i="7"/>
  <c r="D5" i="7" s="1"/>
  <c r="C3" i="7"/>
  <c r="D3" i="7" s="1"/>
  <c r="E3" i="7" s="1"/>
  <c r="F3" i="7" s="1"/>
  <c r="G3" i="7" s="1"/>
  <c r="H3" i="7" s="1"/>
  <c r="I3" i="7" s="1"/>
  <c r="J3" i="7" s="1"/>
  <c r="K3" i="7" s="1"/>
  <c r="C5" i="6"/>
  <c r="D5" i="6" s="1"/>
  <c r="E5" i="6" s="1"/>
  <c r="F5" i="6" s="1"/>
  <c r="G5" i="6" s="1"/>
  <c r="H5" i="6" s="1"/>
  <c r="I5" i="6" s="1"/>
  <c r="J5" i="6" s="1"/>
  <c r="K5" i="6" s="1"/>
  <c r="C4" i="6"/>
  <c r="D4" i="6" s="1"/>
  <c r="E4" i="6" s="1"/>
  <c r="F4" i="6" s="1"/>
  <c r="G4" i="6" s="1"/>
  <c r="H4" i="6" s="1"/>
  <c r="I4" i="6" s="1"/>
  <c r="J4" i="6" s="1"/>
  <c r="K4" i="6" s="1"/>
  <c r="C31" i="3"/>
  <c r="D31" i="3"/>
  <c r="E31" i="3"/>
  <c r="F31" i="3"/>
  <c r="G31" i="3"/>
  <c r="H31" i="3"/>
  <c r="I31" i="3"/>
  <c r="J31" i="3"/>
  <c r="K31" i="3"/>
  <c r="B31" i="3"/>
  <c r="B33" i="3" s="1"/>
  <c r="G30" i="3"/>
  <c r="D29" i="3"/>
  <c r="E29" i="3" s="1"/>
  <c r="F29" i="3" s="1"/>
  <c r="G29" i="3" s="1"/>
  <c r="H29" i="3" s="1"/>
  <c r="I29" i="3" s="1"/>
  <c r="J29" i="3" s="1"/>
  <c r="K29" i="3" s="1"/>
  <c r="C29" i="3"/>
  <c r="G25" i="3"/>
  <c r="H23" i="3"/>
  <c r="I23" i="3" s="1"/>
  <c r="J23" i="3" s="1"/>
  <c r="K23" i="3" s="1"/>
  <c r="L23" i="3" s="1"/>
  <c r="C23" i="3"/>
  <c r="D23" i="3" s="1"/>
  <c r="E23" i="3" s="1"/>
  <c r="F23" i="3" s="1"/>
  <c r="H22" i="3"/>
  <c r="I22" i="3" s="1"/>
  <c r="I25" i="3" s="1"/>
  <c r="I30" i="3" s="1"/>
  <c r="C22" i="3"/>
  <c r="C25" i="3" s="1"/>
  <c r="C30" i="3" s="1"/>
  <c r="B21" i="3"/>
  <c r="C19" i="3"/>
  <c r="D19" i="3" s="1"/>
  <c r="E19" i="3" s="1"/>
  <c r="F19" i="3" s="1"/>
  <c r="G19" i="3" s="1"/>
  <c r="H19" i="3" s="1"/>
  <c r="I19" i="3" s="1"/>
  <c r="J19" i="3" s="1"/>
  <c r="K19" i="3" s="1"/>
  <c r="L19" i="3" s="1"/>
  <c r="C14" i="3"/>
  <c r="D14" i="3"/>
  <c r="E14" i="3"/>
  <c r="F14" i="3"/>
  <c r="G14" i="3"/>
  <c r="H14" i="3"/>
  <c r="I14" i="3"/>
  <c r="J14" i="3"/>
  <c r="K14" i="3"/>
  <c r="B14" i="3"/>
  <c r="G13" i="3"/>
  <c r="B16" i="3"/>
  <c r="C12" i="3"/>
  <c r="D12" i="3" s="1"/>
  <c r="E12" i="3" s="1"/>
  <c r="F12" i="3" s="1"/>
  <c r="G12" i="3" s="1"/>
  <c r="H12" i="3" s="1"/>
  <c r="I12" i="3" s="1"/>
  <c r="J12" i="3" s="1"/>
  <c r="K12" i="3" s="1"/>
  <c r="M12" i="7" l="1"/>
  <c r="D12" i="7"/>
  <c r="E12" i="7" s="1"/>
  <c r="E5" i="7"/>
  <c r="D4" i="7"/>
  <c r="M6" i="7"/>
  <c r="L6" i="7"/>
  <c r="C4" i="7"/>
  <c r="M5" i="6"/>
  <c r="L5" i="6"/>
  <c r="H25" i="3"/>
  <c r="H30" i="3" s="1"/>
  <c r="H33" i="3" s="1"/>
  <c r="H32" i="3" s="1"/>
  <c r="I33" i="3"/>
  <c r="I32" i="3" s="1"/>
  <c r="D22" i="3"/>
  <c r="D25" i="3" s="1"/>
  <c r="D30" i="3" s="1"/>
  <c r="D33" i="3" s="1"/>
  <c r="D32" i="3" s="1"/>
  <c r="E22" i="3"/>
  <c r="C33" i="3"/>
  <c r="C32" i="3" s="1"/>
  <c r="G33" i="3"/>
  <c r="G32" i="3" s="1"/>
  <c r="J22" i="3"/>
  <c r="G16" i="3"/>
  <c r="G15" i="3" s="1"/>
  <c r="B10" i="5"/>
  <c r="B9" i="5"/>
  <c r="D8" i="5"/>
  <c r="E8" i="5" s="1"/>
  <c r="F8" i="5" s="1"/>
  <c r="G8" i="5" s="1"/>
  <c r="H8" i="5" s="1"/>
  <c r="I8" i="5" s="1"/>
  <c r="J8" i="5" s="1"/>
  <c r="K8" i="5" s="1"/>
  <c r="C8" i="5"/>
  <c r="C7" i="5"/>
  <c r="C10" i="5" s="1"/>
  <c r="B6" i="5"/>
  <c r="C5" i="5"/>
  <c r="D5" i="5" s="1"/>
  <c r="C4" i="5"/>
  <c r="C3" i="5"/>
  <c r="D3" i="5" s="1"/>
  <c r="E3" i="5" s="1"/>
  <c r="F3" i="5" s="1"/>
  <c r="G3" i="5" s="1"/>
  <c r="H3" i="5" s="1"/>
  <c r="I3" i="5" s="1"/>
  <c r="J3" i="5" s="1"/>
  <c r="K3" i="5" s="1"/>
  <c r="B6" i="4"/>
  <c r="C5" i="4"/>
  <c r="D5" i="4" s="1"/>
  <c r="E5" i="4" s="1"/>
  <c r="F5" i="4" s="1"/>
  <c r="D4" i="4"/>
  <c r="D6" i="4" s="1"/>
  <c r="C4" i="4"/>
  <c r="C6" i="4" s="1"/>
  <c r="E3" i="4"/>
  <c r="F3" i="4" s="1"/>
  <c r="G3" i="4" s="1"/>
  <c r="H3" i="4" s="1"/>
  <c r="I3" i="4" s="1"/>
  <c r="J3" i="4" s="1"/>
  <c r="K3" i="4" s="1"/>
  <c r="D3" i="4"/>
  <c r="C3" i="4"/>
  <c r="D11" i="7" l="1"/>
  <c r="E11" i="7" s="1"/>
  <c r="E4" i="7"/>
  <c r="F5" i="7"/>
  <c r="E25" i="3"/>
  <c r="E30" i="3" s="1"/>
  <c r="E33" i="3" s="1"/>
  <c r="E32" i="3" s="1"/>
  <c r="F22" i="3"/>
  <c r="F25" i="3" s="1"/>
  <c r="F30" i="3" s="1"/>
  <c r="F33" i="3" s="1"/>
  <c r="F32" i="3" s="1"/>
  <c r="K22" i="3"/>
  <c r="J25" i="3"/>
  <c r="J30" i="3" s="1"/>
  <c r="J33" i="3" s="1"/>
  <c r="J32" i="3" s="1"/>
  <c r="E5" i="5"/>
  <c r="F5" i="5" s="1"/>
  <c r="L8" i="5"/>
  <c r="M8" i="5"/>
  <c r="C6" i="5"/>
  <c r="D6" i="5" s="1"/>
  <c r="D4" i="5" s="1"/>
  <c r="E4" i="5" s="1"/>
  <c r="E6" i="5" s="1"/>
  <c r="F6" i="5" s="1"/>
  <c r="C9" i="5"/>
  <c r="D9" i="5" s="1"/>
  <c r="D7" i="5" s="1"/>
  <c r="G5" i="4"/>
  <c r="E4" i="4"/>
  <c r="E6" i="4" s="1"/>
  <c r="F6" i="4" s="1"/>
  <c r="G6" i="4" s="1"/>
  <c r="H6" i="4" s="1"/>
  <c r="I6" i="4" s="1"/>
  <c r="J6" i="4" s="1"/>
  <c r="K6" i="4" s="1"/>
  <c r="D32" i="1"/>
  <c r="E32" i="1" s="1"/>
  <c r="F32" i="1" s="1"/>
  <c r="G32" i="1" s="1"/>
  <c r="H32" i="1" s="1"/>
  <c r="I32" i="1" s="1"/>
  <c r="J32" i="1" s="1"/>
  <c r="K32" i="1" s="1"/>
  <c r="C32" i="1"/>
  <c r="G5" i="7" l="1"/>
  <c r="F4" i="7"/>
  <c r="L22" i="3"/>
  <c r="L25" i="3" s="1"/>
  <c r="K25" i="3"/>
  <c r="K30" i="3" s="1"/>
  <c r="K33" i="3" s="1"/>
  <c r="D10" i="5"/>
  <c r="E7" i="5"/>
  <c r="G5" i="5"/>
  <c r="H5" i="5" s="1"/>
  <c r="F4" i="5"/>
  <c r="G4" i="5" s="1"/>
  <c r="G6" i="5" s="1"/>
  <c r="H6" i="5" s="1"/>
  <c r="I6" i="5" s="1"/>
  <c r="J6" i="5" s="1"/>
  <c r="K6" i="5" s="1"/>
  <c r="F4" i="4"/>
  <c r="M6" i="4"/>
  <c r="L6" i="4"/>
  <c r="H5" i="4"/>
  <c r="G4" i="4"/>
  <c r="D26" i="1"/>
  <c r="E26" i="1"/>
  <c r="F26" i="1" s="1"/>
  <c r="G26" i="1" s="1"/>
  <c r="H26" i="1" s="1"/>
  <c r="I26" i="1" s="1"/>
  <c r="J26" i="1" s="1"/>
  <c r="K26" i="1" s="1"/>
  <c r="C26" i="1"/>
  <c r="C68" i="1"/>
  <c r="D68" i="1"/>
  <c r="E68" i="1"/>
  <c r="F68" i="1"/>
  <c r="G68" i="1"/>
  <c r="H68" i="1"/>
  <c r="I68" i="1"/>
  <c r="J68" i="1"/>
  <c r="K68" i="1"/>
  <c r="B68" i="1"/>
  <c r="L20" i="1"/>
  <c r="C16" i="1"/>
  <c r="D16" i="1" s="1"/>
  <c r="E16" i="1" s="1"/>
  <c r="F16" i="1" s="1"/>
  <c r="G16" i="1" s="1"/>
  <c r="H16" i="1" s="1"/>
  <c r="I16" i="1" s="1"/>
  <c r="J16" i="1" s="1"/>
  <c r="K16" i="1" s="1"/>
  <c r="B22" i="1"/>
  <c r="B28" i="1" s="1"/>
  <c r="H5" i="7" l="1"/>
  <c r="G4" i="7"/>
  <c r="M33" i="3"/>
  <c r="L33" i="3"/>
  <c r="K32" i="3"/>
  <c r="B34" i="1"/>
  <c r="B33" i="1"/>
  <c r="B72" i="1"/>
  <c r="B24" i="1"/>
  <c r="C24" i="1" s="1"/>
  <c r="D24" i="1" s="1"/>
  <c r="E24" i="1" s="1"/>
  <c r="F24" i="1" s="1"/>
  <c r="G24" i="1" s="1"/>
  <c r="H24" i="1" s="1"/>
  <c r="I24" i="1" s="1"/>
  <c r="J24" i="1" s="1"/>
  <c r="K24" i="1" s="1"/>
  <c r="B70" i="1"/>
  <c r="B69" i="1"/>
  <c r="B73" i="1"/>
  <c r="B71" i="1"/>
  <c r="B27" i="1"/>
  <c r="M6" i="5"/>
  <c r="L6" i="5"/>
  <c r="I5" i="5"/>
  <c r="H4" i="5"/>
  <c r="E10" i="5"/>
  <c r="E9" i="5"/>
  <c r="F9" i="5" s="1"/>
  <c r="F7" i="5" s="1"/>
  <c r="H4" i="4"/>
  <c r="I5" i="4"/>
  <c r="L17" i="1"/>
  <c r="M21" i="1"/>
  <c r="M19" i="1"/>
  <c r="M17" i="1"/>
  <c r="L21" i="1"/>
  <c r="L19" i="1"/>
  <c r="M20" i="1"/>
  <c r="G8" i="3"/>
  <c r="H6" i="3"/>
  <c r="I6" i="3" s="1"/>
  <c r="J6" i="3" s="1"/>
  <c r="K6" i="3" s="1"/>
  <c r="L6" i="3" s="1"/>
  <c r="C6" i="3"/>
  <c r="D6" i="3" s="1"/>
  <c r="E6" i="3" s="1"/>
  <c r="F6" i="3" s="1"/>
  <c r="H5" i="3"/>
  <c r="H8" i="3" s="1"/>
  <c r="B4" i="3"/>
  <c r="C5" i="3"/>
  <c r="C8" i="3" s="1"/>
  <c r="C2" i="3"/>
  <c r="D2" i="3" s="1"/>
  <c r="E2" i="3" s="1"/>
  <c r="F2" i="3" s="1"/>
  <c r="G2" i="3" s="1"/>
  <c r="H2" i="3" s="1"/>
  <c r="I2" i="3" s="1"/>
  <c r="J2" i="3" s="1"/>
  <c r="K2" i="3" s="1"/>
  <c r="L2" i="3" s="1"/>
  <c r="B10" i="1"/>
  <c r="C9" i="1" s="1"/>
  <c r="I5" i="7" l="1"/>
  <c r="H4" i="7"/>
  <c r="L24" i="1"/>
  <c r="M24" i="1"/>
  <c r="B74" i="1"/>
  <c r="B35" i="1"/>
  <c r="B36" i="1" s="1"/>
  <c r="C33" i="1"/>
  <c r="D33" i="1" s="1"/>
  <c r="E33" i="1" s="1"/>
  <c r="F33" i="1" s="1"/>
  <c r="G33" i="1" s="1"/>
  <c r="H33" i="1" s="1"/>
  <c r="I33" i="1" s="1"/>
  <c r="J33" i="1" s="1"/>
  <c r="K33" i="1" s="1"/>
  <c r="C27" i="1"/>
  <c r="D27" i="1" s="1"/>
  <c r="E27" i="1" s="1"/>
  <c r="F27" i="1" s="1"/>
  <c r="G27" i="1" s="1"/>
  <c r="H27" i="1" s="1"/>
  <c r="I27" i="1" s="1"/>
  <c r="J27" i="1" s="1"/>
  <c r="K27" i="1" s="1"/>
  <c r="B29" i="1"/>
  <c r="B30" i="1" s="1"/>
  <c r="H13" i="3"/>
  <c r="C13" i="3"/>
  <c r="G7" i="5"/>
  <c r="F10" i="5"/>
  <c r="J5" i="5"/>
  <c r="I4" i="5"/>
  <c r="J5" i="4"/>
  <c r="I4" i="4"/>
  <c r="I5" i="3"/>
  <c r="J5" i="3" s="1"/>
  <c r="K5" i="3" s="1"/>
  <c r="I8" i="3"/>
  <c r="D5" i="3"/>
  <c r="C8" i="1"/>
  <c r="J5" i="7" l="1"/>
  <c r="I4" i="7"/>
  <c r="C22" i="1"/>
  <c r="C72" i="1" s="1"/>
  <c r="C16" i="3"/>
  <c r="C15" i="3" s="1"/>
  <c r="J8" i="3"/>
  <c r="I13" i="3"/>
  <c r="J4" i="5"/>
  <c r="K5" i="5"/>
  <c r="G10" i="5"/>
  <c r="G9" i="5"/>
  <c r="H9" i="5" s="1"/>
  <c r="K5" i="4"/>
  <c r="J4" i="4"/>
  <c r="D8" i="3"/>
  <c r="E5" i="3"/>
  <c r="K8" i="3"/>
  <c r="L5" i="3"/>
  <c r="L8" i="3" s="1"/>
  <c r="C70" i="1" l="1"/>
  <c r="C71" i="1"/>
  <c r="K5" i="7"/>
  <c r="J4" i="7"/>
  <c r="D13" i="3"/>
  <c r="K13" i="3"/>
  <c r="C28" i="1"/>
  <c r="C29" i="1" s="1"/>
  <c r="C30" i="1" s="1"/>
  <c r="J13" i="3"/>
  <c r="C73" i="1"/>
  <c r="C69" i="1"/>
  <c r="I9" i="5"/>
  <c r="H7" i="5"/>
  <c r="H10" i="5" s="1"/>
  <c r="M5" i="5"/>
  <c r="L5" i="5"/>
  <c r="K4" i="5"/>
  <c r="L5" i="4"/>
  <c r="K4" i="4"/>
  <c r="M5" i="4"/>
  <c r="E8" i="3"/>
  <c r="F5" i="3"/>
  <c r="F8" i="3" s="1"/>
  <c r="C7" i="1"/>
  <c r="C74" i="1" l="1"/>
  <c r="C34" i="1"/>
  <c r="C35" i="1" s="1"/>
  <c r="C36" i="1" s="1"/>
  <c r="M5" i="7"/>
  <c r="L5" i="7"/>
  <c r="K4" i="7"/>
  <c r="D22" i="1"/>
  <c r="D28" i="1" s="1"/>
  <c r="F13" i="3"/>
  <c r="E13" i="3"/>
  <c r="M4" i="5"/>
  <c r="L4" i="5"/>
  <c r="J9" i="5"/>
  <c r="I7" i="5"/>
  <c r="I10" i="5" s="1"/>
  <c r="M4" i="4"/>
  <c r="L4" i="4"/>
  <c r="C5" i="1"/>
  <c r="C4" i="1"/>
  <c r="C6" i="1"/>
  <c r="D69" i="1" l="1"/>
  <c r="D70" i="1"/>
  <c r="D71" i="1"/>
  <c r="L4" i="7"/>
  <c r="M4" i="7"/>
  <c r="D72" i="1"/>
  <c r="D73" i="1"/>
  <c r="D16" i="3"/>
  <c r="D15" i="3" s="1"/>
  <c r="K9" i="5"/>
  <c r="J7" i="5"/>
  <c r="J10" i="5" s="1"/>
  <c r="D29" i="1"/>
  <c r="D30" i="1" s="1"/>
  <c r="D34" i="1"/>
  <c r="D35" i="1" s="1"/>
  <c r="C10" i="1"/>
  <c r="D74" i="1" l="1"/>
  <c r="M9" i="5"/>
  <c r="L9" i="5"/>
  <c r="K7" i="5"/>
  <c r="D36" i="1"/>
  <c r="L7" i="5" l="1"/>
  <c r="K10" i="5"/>
  <c r="M7" i="5"/>
  <c r="M10" i="5" l="1"/>
  <c r="L10" i="5"/>
  <c r="E22" i="1" l="1"/>
  <c r="E73" i="1" s="1"/>
  <c r="E70" i="1" l="1"/>
  <c r="E72" i="1"/>
  <c r="E69" i="1"/>
  <c r="E71" i="1"/>
  <c r="E28" i="1"/>
  <c r="E29" i="1" s="1"/>
  <c r="E30" i="1" s="1"/>
  <c r="E16" i="3"/>
  <c r="E15" i="3" s="1"/>
  <c r="E74" i="1" l="1"/>
  <c r="E34" i="1"/>
  <c r="E35" i="1" s="1"/>
  <c r="E36" i="1" s="1"/>
  <c r="F16" i="3"/>
  <c r="F15" i="3" s="1"/>
  <c r="F22" i="1" l="1"/>
  <c r="F70" i="1" s="1"/>
  <c r="G22" i="1" l="1"/>
  <c r="G70" i="1" s="1"/>
  <c r="F72" i="1"/>
  <c r="F71" i="1"/>
  <c r="F28" i="1"/>
  <c r="F69" i="1"/>
  <c r="F73" i="1"/>
  <c r="H16" i="3" l="1"/>
  <c r="H15" i="3"/>
  <c r="F29" i="1"/>
  <c r="F34" i="1"/>
  <c r="F35" i="1" s="1"/>
  <c r="G73" i="1"/>
  <c r="G72" i="1"/>
  <c r="G28" i="1"/>
  <c r="G71" i="1"/>
  <c r="G69" i="1"/>
  <c r="F74" i="1"/>
  <c r="H22" i="1"/>
  <c r="G29" i="1" l="1"/>
  <c r="G30" i="1" s="1"/>
  <c r="G34" i="1"/>
  <c r="G35" i="1" s="1"/>
  <c r="G36" i="1" s="1"/>
  <c r="I16" i="3"/>
  <c r="I15" i="3" s="1"/>
  <c r="F30" i="1"/>
  <c r="F36" i="1"/>
  <c r="H72" i="1"/>
  <c r="H71" i="1"/>
  <c r="H69" i="1"/>
  <c r="H28" i="1"/>
  <c r="H73" i="1"/>
  <c r="J16" i="3"/>
  <c r="J15" i="3" s="1"/>
  <c r="I22" i="1"/>
  <c r="I70" i="1" s="1"/>
  <c r="H70" i="1"/>
  <c r="G74" i="1"/>
  <c r="H29" i="1" l="1"/>
  <c r="H30" i="1" s="1"/>
  <c r="H34" i="1"/>
  <c r="H35" i="1" s="1"/>
  <c r="H74" i="1"/>
  <c r="J22" i="1"/>
  <c r="J70" i="1" s="1"/>
  <c r="I73" i="1"/>
  <c r="I71" i="1"/>
  <c r="I72" i="1"/>
  <c r="I69" i="1"/>
  <c r="I28" i="1"/>
  <c r="I29" i="1" l="1"/>
  <c r="I30" i="1" s="1"/>
  <c r="I34" i="1"/>
  <c r="I35" i="1" s="1"/>
  <c r="I36" i="1" s="1"/>
  <c r="H36" i="1"/>
  <c r="I74" i="1"/>
  <c r="J72" i="1"/>
  <c r="J73" i="1"/>
  <c r="J28" i="1"/>
  <c r="J69" i="1"/>
  <c r="J71" i="1"/>
  <c r="J29" i="1" l="1"/>
  <c r="J30" i="1" s="1"/>
  <c r="J34" i="1"/>
  <c r="J35" i="1" s="1"/>
  <c r="J36" i="1" s="1"/>
  <c r="J74" i="1"/>
  <c r="K16" i="3"/>
  <c r="K15" i="3" l="1"/>
  <c r="L16" i="3"/>
  <c r="M16" i="3"/>
  <c r="M18" i="1"/>
  <c r="L18" i="1"/>
  <c r="K22" i="1"/>
  <c r="L22" i="1" l="1"/>
  <c r="K73" i="1"/>
  <c r="K28" i="1"/>
  <c r="K69" i="1"/>
  <c r="M22" i="1"/>
  <c r="K72" i="1"/>
  <c r="K71" i="1"/>
  <c r="K70" i="1"/>
  <c r="K29" i="1" l="1"/>
  <c r="K30" i="1" s="1"/>
  <c r="K34" i="1"/>
  <c r="K35" i="1" s="1"/>
  <c r="K36" i="1" s="1"/>
  <c r="K74" i="1"/>
</calcChain>
</file>

<file path=xl/sharedStrings.xml><?xml version="1.0" encoding="utf-8"?>
<sst xmlns="http://schemas.openxmlformats.org/spreadsheetml/2006/main" count="95" uniqueCount="58">
  <si>
    <t>Books (print and e-books)</t>
  </si>
  <si>
    <t>Journals</t>
  </si>
  <si>
    <t>Document Delivery</t>
  </si>
  <si>
    <t>Databases</t>
  </si>
  <si>
    <t>Total</t>
  </si>
  <si>
    <t>Expenditures</t>
  </si>
  <si>
    <t>% of Total</t>
  </si>
  <si>
    <t>Book Budget</t>
  </si>
  <si>
    <t>Cost per Book</t>
  </si>
  <si>
    <t>Books Purchased</t>
  </si>
  <si>
    <t>Year</t>
  </si>
  <si>
    <t>Journal Budget</t>
  </si>
  <si>
    <t>Cost per Title</t>
  </si>
  <si>
    <t>Titles Purchased</t>
  </si>
  <si>
    <t>Document Delivery Costs</t>
  </si>
  <si>
    <t>Cost per Article</t>
  </si>
  <si>
    <t>Articles Purchased</t>
  </si>
  <si>
    <t>Combined Budget</t>
  </si>
  <si>
    <t>APC Fund</t>
  </si>
  <si>
    <t>Contributions to Open Content and Infrastructure</t>
  </si>
  <si>
    <t>% Articles OA</t>
  </si>
  <si>
    <t>% Views OA</t>
  </si>
  <si>
    <t>Rate of OA Article Increase</t>
  </si>
  <si>
    <t>Rate of OA View Increase</t>
  </si>
  <si>
    <t>Total Journals Budget</t>
  </si>
  <si>
    <t>Total Journals Budet with OA Reduction</t>
  </si>
  <si>
    <t>Cumulative OA increase</t>
  </si>
  <si>
    <t>Amount of OA Adjustment</t>
  </si>
  <si>
    <t>Database Budget</t>
  </si>
  <si>
    <t>APC Budget</t>
  </si>
  <si>
    <t>Average APC Cost</t>
  </si>
  <si>
    <t>APCs Funded</t>
  </si>
  <si>
    <t>Open Investment</t>
  </si>
  <si>
    <t>Change</t>
  </si>
  <si>
    <t>Inflation Increase</t>
  </si>
  <si>
    <t>Annul Net</t>
  </si>
  <si>
    <t>Cumulative Net</t>
  </si>
  <si>
    <t>Constant Budget</t>
  </si>
  <si>
    <t>0.5% Increase Budget</t>
  </si>
  <si>
    <t>Table 1: Library Budget Year 1</t>
  </si>
  <si>
    <t>10 Year % Change</t>
  </si>
  <si>
    <t>10 Year $ Change</t>
  </si>
  <si>
    <t>Table 2: DDA Model for Book Purchases</t>
  </si>
  <si>
    <t>Table 3: Purchasing individual Articles as an Alternative to Journal Subscriptions</t>
  </si>
  <si>
    <t>Table 4: Open Access (OA) Will Become the Predominant Business Model for Journals at 1.3%</t>
  </si>
  <si>
    <t>Table 5: Open Access (OA) Will Become the Predominant Business Model for Journals at 2.6%</t>
  </si>
  <si>
    <t>Table 6: Growth in Open Content</t>
  </si>
  <si>
    <t>Table 7: APCs</t>
  </si>
  <si>
    <t>Table 8: Investment in Open Content and Infrastructure</t>
  </si>
  <si>
    <t xml:space="preserve">Total </t>
  </si>
  <si>
    <t>Table 9: Budget with Strategies Implemented</t>
  </si>
  <si>
    <t>Table 10: Budget with Strategies Implemented by %</t>
  </si>
  <si>
    <t>This spreadsheet is the basis for the Thought Experiment in the article</t>
  </si>
  <si>
    <t>Library Trends</t>
  </si>
  <si>
    <t>Lewis, David W., Tina Baich, Kristi Palmer and Willie Miller,</t>
  </si>
  <si>
    <t>"The Efficient Provision of Information Resources in Academic Libraries: Theory and Practice,"</t>
  </si>
  <si>
    <r>
      <t xml:space="preserve">© 2021 Lewis, David W., Tina Baich, Kristi Palmer and Willie Miller. This work is licensed under a </t>
    </r>
    <r>
      <rPr>
        <u/>
        <sz val="16"/>
        <color rgb="FF0563C1"/>
        <rFont val="Times New Roman"/>
        <family val="1"/>
      </rPr>
      <t>Creative Commons Attribution-NonCommercial 4.0 International License.</t>
    </r>
  </si>
  <si>
    <t>Journals (both Subscriptions and Purchased Articles)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</si>
</sst>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&quot;$&quot;#,##0.00"/>
    <numFmt numFmtId="166" formatCode="0.0%"/>
  </numFmts>
  <fonts count="9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6"/>
      <color theme="1"/>
      <name val="Times New Roman"/>
      <family val="1"/>
    </font>
    <font>
      <sz val="16"/>
      <color rgb="FF434343"/>
      <name val="Times New Roman"/>
      <family val="1"/>
    </font>
    <font>
      <sz val="16"/>
      <color rgb="FF000000"/>
      <name val="Times New Roman"/>
      <family val="1"/>
    </font>
    <font>
      <u/>
      <sz val="16"/>
      <color rgb="FF0563C1"/>
      <name val="Times New Roman"/>
      <family val="1"/>
    </font>
    <font>
      <i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164" fontId="0" fillId="0" borderId="0" xfId="0" applyNumberFormat="1"/>
    <xf numFmtId="0" fontId="1" fillId="0" borderId="0" xfId="0" applyFont="1"/>
    <xf numFmtId="166" fontId="0" fillId="0" borderId="6" xfId="0" applyNumberFormat="1" applyFill="1" applyBorder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Border="1"/>
    <xf numFmtId="9" fontId="2" fillId="0" borderId="0" xfId="0" applyNumberFormat="1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/>
    <xf numFmtId="166" fontId="2" fillId="0" borderId="1" xfId="0" applyNumberFormat="1" applyFont="1" applyBorder="1"/>
    <xf numFmtId="0" fontId="3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166" fontId="2" fillId="0" borderId="0" xfId="0" applyNumberFormat="1" applyFont="1" applyFill="1" applyBorder="1"/>
    <xf numFmtId="164" fontId="2" fillId="0" borderId="0" xfId="0" applyNumberFormat="1" applyFont="1"/>
    <xf numFmtId="3" fontId="2" fillId="0" borderId="0" xfId="0" applyNumberFormat="1" applyFont="1"/>
    <xf numFmtId="0" fontId="2" fillId="0" borderId="1" xfId="0" applyFont="1" applyBorder="1" applyAlignment="1">
      <alignment horizontal="center"/>
    </xf>
    <xf numFmtId="166" fontId="2" fillId="0" borderId="2" xfId="0" applyNumberFormat="1" applyFont="1" applyFill="1" applyBorder="1"/>
    <xf numFmtId="165" fontId="2" fillId="0" borderId="1" xfId="0" applyNumberFormat="1" applyFont="1" applyBorder="1"/>
    <xf numFmtId="3" fontId="2" fillId="0" borderId="1" xfId="0" applyNumberFormat="1" applyFont="1" applyBorder="1"/>
    <xf numFmtId="165" fontId="2" fillId="0" borderId="1" xfId="0" applyNumberFormat="1" applyFont="1" applyFill="1" applyBorder="1"/>
    <xf numFmtId="165" fontId="2" fillId="0" borderId="0" xfId="0" applyNumberFormat="1" applyFont="1"/>
    <xf numFmtId="166" fontId="2" fillId="0" borderId="0" xfId="0" applyNumberFormat="1" applyFont="1"/>
    <xf numFmtId="166" fontId="2" fillId="0" borderId="6" xfId="0" applyNumberFormat="1" applyFont="1" applyFill="1" applyBorder="1"/>
    <xf numFmtId="0" fontId="2" fillId="0" borderId="1" xfId="0" applyFont="1" applyBorder="1"/>
    <xf numFmtId="1" fontId="2" fillId="0" borderId="1" xfId="0" applyNumberFormat="1" applyFont="1" applyBorder="1" applyAlignment="1">
      <alignment horizontal="right"/>
    </xf>
    <xf numFmtId="0" fontId="2" fillId="0" borderId="0" xfId="0" applyFont="1" applyFill="1" applyBorder="1" applyAlignment="1">
      <alignment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vertical="center" wrapText="1"/>
    </xf>
    <xf numFmtId="0" fontId="2" fillId="0" borderId="0" xfId="0" applyFont="1" applyBorder="1" applyAlignment="1">
      <alignment wrapText="1"/>
    </xf>
    <xf numFmtId="164" fontId="2" fillId="0" borderId="0" xfId="0" applyNumberFormat="1" applyFont="1" applyBorder="1"/>
    <xf numFmtId="1" fontId="2" fillId="0" borderId="0" xfId="0" applyNumberFormat="1" applyFont="1" applyBorder="1"/>
    <xf numFmtId="166" fontId="2" fillId="0" borderId="0" xfId="0" applyNumberFormat="1" applyFont="1" applyFill="1" applyBorder="1" applyAlignment="1">
      <alignment wrapText="1"/>
    </xf>
    <xf numFmtId="164" fontId="2" fillId="0" borderId="0" xfId="0" applyNumberFormat="1" applyFont="1" applyAlignment="1">
      <alignment wrapText="1"/>
    </xf>
    <xf numFmtId="3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right" wrapText="1"/>
    </xf>
    <xf numFmtId="166" fontId="2" fillId="0" borderId="8" xfId="0" applyNumberFormat="1" applyFont="1" applyFill="1" applyBorder="1"/>
    <xf numFmtId="3" fontId="2" fillId="0" borderId="0" xfId="0" applyNumberFormat="1" applyFont="1" applyBorder="1"/>
    <xf numFmtId="0" fontId="8" fillId="0" borderId="0" xfId="0" applyFont="1" applyAlignment="1">
      <alignment horizontal="left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latin typeface="Times New Roman" panose="02020603050405020304" pitchFamily="18" charset="0"/>
                <a:cs typeface="Times New Roman" panose="02020603050405020304" pitchFamily="18" charset="0"/>
              </a:rPr>
              <a:t>Figure 1: Budget with Strategies Implemented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'4.0 Budget'!$A$17</c:f>
              <c:strCache>
                <c:ptCount val="1"/>
                <c:pt idx="0">
                  <c:v>Books (print and e-books)</c:v>
                </c:pt>
              </c:strCache>
            </c:strRef>
          </c:tx>
          <c:spPr>
            <a:solidFill>
              <a:sysClr val="windowText" lastClr="000000">
                <a:lumMod val="65000"/>
                <a:lumOff val="35000"/>
                <a:alpha val="72000"/>
              </a:sys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'4.0 Budget'!$B$17:$K$17</c:f>
              <c:numCache>
                <c:formatCode>"$"#,##0</c:formatCode>
                <c:ptCount val="10"/>
                <c:pt idx="0">
                  <c:v>450000</c:v>
                </c:pt>
                <c:pt idx="1">
                  <c:v>360000</c:v>
                </c:pt>
                <c:pt idx="2">
                  <c:v>288000</c:v>
                </c:pt>
                <c:pt idx="3">
                  <c:v>230400</c:v>
                </c:pt>
                <c:pt idx="4">
                  <c:v>237312</c:v>
                </c:pt>
                <c:pt idx="5">
                  <c:v>244431.35999999999</c:v>
                </c:pt>
                <c:pt idx="6">
                  <c:v>251764.3008</c:v>
                </c:pt>
                <c:pt idx="7">
                  <c:v>259317.22982399998</c:v>
                </c:pt>
                <c:pt idx="8">
                  <c:v>267096.74671872001</c:v>
                </c:pt>
                <c:pt idx="9">
                  <c:v>275109.64912028163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96-DE4F-A1B3-A49DDBBAF5C5}"/>
            </c:ext>
          </c:extLst>
        </c:ser>
        <c:ser>
          <c:idx val="1"/>
          <c:order val="1"/>
          <c:tx>
            <c:strRef>
              <c:f>'4.0 Budget'!$A$18</c:f>
              <c:strCache>
                <c:ptCount val="1"/>
                <c:pt idx="0">
                  <c:v>Journals (both Subscriptions and Purchased Articles)</c:v>
                </c:pt>
              </c:strCache>
            </c:strRef>
          </c:tx>
          <c:spPr>
            <a:solidFill>
              <a:sysClr val="windowText" lastClr="000000">
                <a:lumMod val="65000"/>
                <a:lumOff val="35000"/>
                <a:alpha val="37000"/>
              </a:sys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'4.0 Budget'!$B$18:$K$18</c:f>
              <c:numCache>
                <c:formatCode>"$"#,##0</c:formatCode>
                <c:ptCount val="10"/>
                <c:pt idx="0">
                  <c:v>1800000</c:v>
                </c:pt>
                <c:pt idx="1">
                  <c:v>1597360</c:v>
                </c:pt>
                <c:pt idx="2">
                  <c:v>1677249</c:v>
                </c:pt>
                <c:pt idx="3">
                  <c:v>1493294.25</c:v>
                </c:pt>
                <c:pt idx="4">
                  <c:v>1564893.7920000001</c:v>
                </c:pt>
                <c:pt idx="5">
                  <c:v>1399955.6497500003</c:v>
                </c:pt>
                <c:pt idx="6">
                  <c:v>1463700.8305710002</c:v>
                </c:pt>
                <c:pt idx="7">
                  <c:v>1528978.7305670853</c:v>
                </c:pt>
                <c:pt idx="8">
                  <c:v>1595638.300305635</c:v>
                </c:pt>
                <c:pt idx="9">
                  <c:v>1663494.9484917445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96-DE4F-A1B3-A49DDBBAF5C5}"/>
            </c:ext>
          </c:extLst>
        </c:ser>
        <c:ser>
          <c:idx val="2"/>
          <c:order val="2"/>
          <c:tx>
            <c:strRef>
              <c:f>'4.0 Budget'!$A$19</c:f>
              <c:strCache>
                <c:ptCount val="1"/>
                <c:pt idx="0">
                  <c:v>Databases</c:v>
                </c:pt>
              </c:strCache>
            </c:strRef>
          </c:tx>
          <c:spPr>
            <a:solidFill>
              <a:sysClr val="windowText" lastClr="000000">
                <a:lumMod val="65000"/>
                <a:lumOff val="35000"/>
                <a:alpha val="11000"/>
              </a:sys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'4.0 Budget'!$B$19:$K$19</c:f>
              <c:numCache>
                <c:formatCode>"$"#,##0</c:formatCode>
                <c:ptCount val="10"/>
                <c:pt idx="0">
                  <c:v>750000</c:v>
                </c:pt>
                <c:pt idx="1">
                  <c:v>772500</c:v>
                </c:pt>
                <c:pt idx="2">
                  <c:v>795675</c:v>
                </c:pt>
                <c:pt idx="3">
                  <c:v>819545.25</c:v>
                </c:pt>
                <c:pt idx="4">
                  <c:v>844131.60750000004</c:v>
                </c:pt>
                <c:pt idx="5">
                  <c:v>869455.5557250001</c:v>
                </c:pt>
                <c:pt idx="6">
                  <c:v>895539.22239675012</c:v>
                </c:pt>
                <c:pt idx="7">
                  <c:v>922405.39906865265</c:v>
                </c:pt>
                <c:pt idx="8">
                  <c:v>950077.56104071229</c:v>
                </c:pt>
                <c:pt idx="9">
                  <c:v>978579.88787193364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96-DE4F-A1B3-A49DDBBAF5C5}"/>
            </c:ext>
          </c:extLst>
        </c:ser>
        <c:ser>
          <c:idx val="3"/>
          <c:order val="3"/>
          <c:tx>
            <c:strRef>
              <c:f>'4.0 Budget'!$A$20</c:f>
              <c:strCache>
                <c:ptCount val="1"/>
                <c:pt idx="0">
                  <c:v>APC Fund</c:v>
                </c:pt>
              </c:strCache>
            </c:strRef>
          </c:tx>
          <c:spPr>
            <a:pattFill prst="pct70">
              <a:fgClr>
                <a:sysClr val="windowText" lastClr="000000">
                  <a:lumMod val="65000"/>
                  <a:lumOff val="35000"/>
                </a:sys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'4.0 Budget'!$B$20:$K$20</c:f>
              <c:numCache>
                <c:formatCode>"$"#,##0</c:formatCode>
                <c:ptCount val="10"/>
                <c:pt idx="0">
                  <c:v>100000</c:v>
                </c:pt>
                <c:pt idx="1">
                  <c:v>107730</c:v>
                </c:pt>
                <c:pt idx="2">
                  <c:v>116057.52899999999</c:v>
                </c:pt>
                <c:pt idx="3">
                  <c:v>125028.77599170001</c:v>
                </c:pt>
                <c:pt idx="4">
                  <c:v>134693.50037585842</c:v>
                </c:pt>
                <c:pt idx="5">
                  <c:v>145105.30795491231</c:v>
                </c:pt>
                <c:pt idx="6">
                  <c:v>156321.94825982707</c:v>
                </c:pt>
                <c:pt idx="7">
                  <c:v>168405.63486031169</c:v>
                </c:pt>
                <c:pt idx="8">
                  <c:v>181423.39043501377</c:v>
                </c:pt>
                <c:pt idx="9">
                  <c:v>195447.41851564034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96-DE4F-A1B3-A49DDBBAF5C5}"/>
            </c:ext>
          </c:extLst>
        </c:ser>
        <c:ser>
          <c:idx val="4"/>
          <c:order val="4"/>
          <c:tx>
            <c:strRef>
              <c:f>'4.0 Budget'!$A$21</c:f>
              <c:strCache>
                <c:ptCount val="1"/>
                <c:pt idx="0">
                  <c:v>Contributions to Open Content and Infrastructure</c:v>
                </c:pt>
              </c:strCache>
            </c:strRef>
          </c:tx>
          <c:spPr>
            <a:pattFill prst="pct25">
              <a:fgClr>
                <a:sysClr val="windowText" lastClr="000000">
                  <a:lumMod val="65000"/>
                  <a:lumOff val="35000"/>
                </a:sysClr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'4.0 Budget'!$B$21:$K$21</c:f>
              <c:numCache>
                <c:formatCode>"$"#,##0</c:formatCode>
                <c:ptCount val="10"/>
                <c:pt idx="0">
                  <c:v>150000</c:v>
                </c:pt>
                <c:pt idx="1">
                  <c:v>187500</c:v>
                </c:pt>
                <c:pt idx="2">
                  <c:v>225000</c:v>
                </c:pt>
                <c:pt idx="3">
                  <c:v>262500</c:v>
                </c:pt>
                <c:pt idx="4">
                  <c:v>300000</c:v>
                </c:pt>
                <c:pt idx="5">
                  <c:v>360000</c:v>
                </c:pt>
                <c:pt idx="6">
                  <c:v>420000</c:v>
                </c:pt>
                <c:pt idx="7">
                  <c:v>480000</c:v>
                </c:pt>
                <c:pt idx="8">
                  <c:v>540000</c:v>
                </c:pt>
                <c:pt idx="9">
                  <c:v>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96-DE4F-A1B3-A49DDBBAF5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overlap val="100"/>
        <c:axId val="1960917856"/>
        <c:axId val="1957213152"/>
      </c:barChart>
      <c:catAx>
        <c:axId val="19609178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57213152"/>
        <c:crosses val="autoZero"/>
        <c:auto val="1"/>
        <c:lblAlgn val="ctr"/>
        <c:lblOffset val="100"/>
        <c:noMultiLvlLbl val="0"/>
      </c:catAx>
      <c:valAx>
        <c:axId val="195721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6091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38</xdr:row>
      <xdr:rowOff>6350</xdr:rowOff>
    </xdr:from>
    <xdr:to>
      <xdr:col>11</xdr:col>
      <xdr:colOff>546100</xdr:colOff>
      <xdr:row>63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49F2DEF-D7C0-7348-B0C9-0DC7C5AE84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4F4FA-A31D-624A-8252-DD0837870226}">
  <dimension ref="A2:A9"/>
  <sheetViews>
    <sheetView workbookViewId="0">
      <selection activeCell="A14" sqref="A14"/>
    </sheetView>
  </sheetViews>
  <sheetFormatPr baseColWidth="10" defaultRowHeight="20" x14ac:dyDescent="0.2"/>
  <cols>
    <col min="1" max="1" width="118.5" style="29" customWidth="1"/>
    <col min="2" max="16384" width="10.83203125" style="4"/>
  </cols>
  <sheetData>
    <row r="2" spans="1:1" ht="21" x14ac:dyDescent="0.2">
      <c r="A2" s="29" t="s">
        <v>52</v>
      </c>
    </row>
    <row r="4" spans="1:1" ht="21" x14ac:dyDescent="0.2">
      <c r="A4" s="29" t="s">
        <v>54</v>
      </c>
    </row>
    <row r="5" spans="1:1" ht="21" x14ac:dyDescent="0.2">
      <c r="A5" s="30" t="s">
        <v>55</v>
      </c>
    </row>
    <row r="6" spans="1:1" ht="21" x14ac:dyDescent="0.2">
      <c r="A6" s="41" t="s">
        <v>53</v>
      </c>
    </row>
    <row r="7" spans="1:1" x14ac:dyDescent="0.2">
      <c r="A7" s="29">
        <v>2021</v>
      </c>
    </row>
    <row r="9" spans="1:1" ht="42" x14ac:dyDescent="0.2">
      <c r="A9" s="31" t="s">
        <v>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E95AD-AE32-F548-986B-47FD462D97BE}">
  <dimension ref="A2:M74"/>
  <sheetViews>
    <sheetView tabSelected="1" topLeftCell="A36" workbookViewId="0">
      <selection activeCell="M54" sqref="M54"/>
    </sheetView>
  </sheetViews>
  <sheetFormatPr baseColWidth="10" defaultRowHeight="16" x14ac:dyDescent="0.2"/>
  <cols>
    <col min="1" max="1" width="12" style="5" customWidth="1"/>
    <col min="2" max="11" width="10.1640625" style="4" bestFit="1" customWidth="1"/>
    <col min="12" max="13" width="11.1640625" style="4" bestFit="1" customWidth="1"/>
    <col min="14" max="16384" width="10.83203125" style="4"/>
  </cols>
  <sheetData>
    <row r="2" spans="1:11" x14ac:dyDescent="0.2">
      <c r="A2" s="42" t="s">
        <v>39</v>
      </c>
      <c r="B2" s="43"/>
      <c r="C2" s="44"/>
    </row>
    <row r="3" spans="1:11" x14ac:dyDescent="0.2">
      <c r="A3" s="8"/>
      <c r="B3" s="9" t="s">
        <v>5</v>
      </c>
      <c r="C3" s="9" t="s">
        <v>6</v>
      </c>
    </row>
    <row r="4" spans="1:11" ht="34" x14ac:dyDescent="0.2">
      <c r="A4" s="8" t="s">
        <v>0</v>
      </c>
      <c r="B4" s="10">
        <v>450000</v>
      </c>
      <c r="C4" s="11">
        <f>B4/B10</f>
        <v>0.13846153846153847</v>
      </c>
    </row>
    <row r="5" spans="1:11" ht="17" x14ac:dyDescent="0.2">
      <c r="A5" s="8" t="s">
        <v>1</v>
      </c>
      <c r="B5" s="10">
        <v>1750000</v>
      </c>
      <c r="C5" s="11">
        <f>B5/B10</f>
        <v>0.53846153846153844</v>
      </c>
    </row>
    <row r="6" spans="1:11" ht="34" x14ac:dyDescent="0.2">
      <c r="A6" s="8" t="s">
        <v>2</v>
      </c>
      <c r="B6" s="10">
        <v>50000</v>
      </c>
      <c r="C6" s="11">
        <f>B6/B10</f>
        <v>1.5384615384615385E-2</v>
      </c>
    </row>
    <row r="7" spans="1:11" ht="17" x14ac:dyDescent="0.2">
      <c r="A7" s="8" t="s">
        <v>3</v>
      </c>
      <c r="B7" s="10">
        <v>750000</v>
      </c>
      <c r="C7" s="11">
        <f>B7/B10</f>
        <v>0.23076923076923078</v>
      </c>
    </row>
    <row r="8" spans="1:11" ht="17" x14ac:dyDescent="0.2">
      <c r="A8" s="12" t="s">
        <v>18</v>
      </c>
      <c r="B8" s="10">
        <v>100000</v>
      </c>
      <c r="C8" s="11">
        <f>B8/B10</f>
        <v>3.0769230769230771E-2</v>
      </c>
    </row>
    <row r="9" spans="1:11" ht="68" x14ac:dyDescent="0.2">
      <c r="A9" s="12" t="s">
        <v>19</v>
      </c>
      <c r="B9" s="10">
        <v>150000</v>
      </c>
      <c r="C9" s="11">
        <f>B9/B10</f>
        <v>4.6153846153846156E-2</v>
      </c>
    </row>
    <row r="10" spans="1:11" ht="17" x14ac:dyDescent="0.2">
      <c r="A10" s="8" t="s">
        <v>4</v>
      </c>
      <c r="B10" s="10">
        <f>SUM(B4:B9)</f>
        <v>3250000</v>
      </c>
      <c r="C10" s="11">
        <f>SUM(C4:C9)</f>
        <v>1</v>
      </c>
    </row>
    <row r="15" spans="1:11" x14ac:dyDescent="0.2">
      <c r="A15" s="45" t="s">
        <v>50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</row>
    <row r="16" spans="1:11" s="5" customFormat="1" ht="17" x14ac:dyDescent="0.2">
      <c r="A16" s="8" t="s">
        <v>10</v>
      </c>
      <c r="B16" s="37">
        <v>1</v>
      </c>
      <c r="C16" s="37">
        <f>B16+1</f>
        <v>2</v>
      </c>
      <c r="D16" s="37">
        <f t="shared" ref="D16:J16" si="0">C16+1</f>
        <v>3</v>
      </c>
      <c r="E16" s="37">
        <f t="shared" si="0"/>
        <v>4</v>
      </c>
      <c r="F16" s="37">
        <f t="shared" si="0"/>
        <v>5</v>
      </c>
      <c r="G16" s="37">
        <f t="shared" si="0"/>
        <v>6</v>
      </c>
      <c r="H16" s="37">
        <f t="shared" si="0"/>
        <v>7</v>
      </c>
      <c r="I16" s="37">
        <f t="shared" si="0"/>
        <v>8</v>
      </c>
      <c r="J16" s="37">
        <f t="shared" si="0"/>
        <v>9</v>
      </c>
      <c r="K16" s="37">
        <f>J16+1</f>
        <v>10</v>
      </c>
    </row>
    <row r="17" spans="1:13" s="5" customFormat="1" ht="34" x14ac:dyDescent="0.2">
      <c r="A17" s="8" t="s">
        <v>0</v>
      </c>
      <c r="B17" s="38">
        <f>'4.1 DDA'!B4</f>
        <v>450000</v>
      </c>
      <c r="C17" s="38">
        <f>'4.1 DDA'!C4</f>
        <v>360000</v>
      </c>
      <c r="D17" s="38">
        <f>'4.1 DDA'!D4</f>
        <v>288000</v>
      </c>
      <c r="E17" s="38">
        <f>'4.1 DDA'!E4</f>
        <v>230400</v>
      </c>
      <c r="F17" s="38">
        <f>'4.1 DDA'!F4</f>
        <v>237312</v>
      </c>
      <c r="G17" s="38">
        <f>'4.1 DDA'!G4</f>
        <v>244431.35999999999</v>
      </c>
      <c r="H17" s="38">
        <f>'4.1 DDA'!H4</f>
        <v>251764.3008</v>
      </c>
      <c r="I17" s="38">
        <f>'4.1 DDA'!I4</f>
        <v>259317.22982399998</v>
      </c>
      <c r="J17" s="38">
        <f>'4.1 DDA'!J4</f>
        <v>267096.74671872001</v>
      </c>
      <c r="K17" s="38">
        <f>'4.1 DDA'!K4</f>
        <v>275109.64912028163</v>
      </c>
      <c r="L17" s="35">
        <f>K17/B17-1</f>
        <v>-0.38864522417715197</v>
      </c>
      <c r="M17" s="36">
        <f>K17-B17</f>
        <v>-174890.35087971837</v>
      </c>
    </row>
    <row r="18" spans="1:13" s="5" customFormat="1" ht="102" x14ac:dyDescent="0.2">
      <c r="A18" s="8" t="s">
        <v>57</v>
      </c>
      <c r="B18" s="38">
        <f>'4.3 OA'!B33</f>
        <v>1800000</v>
      </c>
      <c r="C18" s="38">
        <f>'4.3 OA'!C33</f>
        <v>1597360</v>
      </c>
      <c r="D18" s="38">
        <f>'4.3 OA'!D33</f>
        <v>1677249</v>
      </c>
      <c r="E18" s="38">
        <f>'4.3 OA'!E33</f>
        <v>1493294.25</v>
      </c>
      <c r="F18" s="38">
        <f>'4.3 OA'!F33</f>
        <v>1564893.7920000001</v>
      </c>
      <c r="G18" s="38">
        <f>'4.3 OA'!G33</f>
        <v>1399955.6497500003</v>
      </c>
      <c r="H18" s="38">
        <f>'4.3 OA'!H33</f>
        <v>1463700.8305710002</v>
      </c>
      <c r="I18" s="38">
        <f>'4.3 OA'!I33</f>
        <v>1528978.7305670853</v>
      </c>
      <c r="J18" s="38">
        <f>'4.3 OA'!J33</f>
        <v>1595638.300305635</v>
      </c>
      <c r="K18" s="38">
        <f>'4.3 OA'!K33</f>
        <v>1663494.9484917445</v>
      </c>
      <c r="L18" s="35">
        <f t="shared" ref="L18:L22" si="1">K18/B18-1</f>
        <v>-7.5836139726808582E-2</v>
      </c>
      <c r="M18" s="36">
        <f t="shared" ref="M18:M22" si="2">K18-B18</f>
        <v>-136505.05150825554</v>
      </c>
    </row>
    <row r="19" spans="1:13" s="5" customFormat="1" ht="17" x14ac:dyDescent="0.2">
      <c r="A19" s="8" t="s">
        <v>3</v>
      </c>
      <c r="B19" s="38">
        <f>'4.4 Web'!B5</f>
        <v>750000</v>
      </c>
      <c r="C19" s="38">
        <f>'4.4 Web'!C5</f>
        <v>772500</v>
      </c>
      <c r="D19" s="38">
        <f>'4.4 Web'!D5</f>
        <v>795675</v>
      </c>
      <c r="E19" s="38">
        <f>'4.4 Web'!E5</f>
        <v>819545.25</v>
      </c>
      <c r="F19" s="38">
        <f>'4.4 Web'!F5</f>
        <v>844131.60750000004</v>
      </c>
      <c r="G19" s="38">
        <f>'4.4 Web'!G5</f>
        <v>869455.5557250001</v>
      </c>
      <c r="H19" s="38">
        <f>'4.4 Web'!H5</f>
        <v>895539.22239675012</v>
      </c>
      <c r="I19" s="38">
        <f>'4.4 Web'!I5</f>
        <v>922405.39906865265</v>
      </c>
      <c r="J19" s="38">
        <f>'4.4 Web'!J5</f>
        <v>950077.56104071229</v>
      </c>
      <c r="K19" s="38">
        <f>'4.4 Web'!K5</f>
        <v>978579.88787193364</v>
      </c>
      <c r="L19" s="35">
        <f t="shared" si="1"/>
        <v>0.3047731838292449</v>
      </c>
      <c r="M19" s="36">
        <f t="shared" si="2"/>
        <v>228579.88787193364</v>
      </c>
    </row>
    <row r="20" spans="1:13" s="5" customFormat="1" ht="17" x14ac:dyDescent="0.2">
      <c r="A20" s="12" t="s">
        <v>18</v>
      </c>
      <c r="B20" s="38">
        <f>'4.5 Invest'!B4</f>
        <v>100000</v>
      </c>
      <c r="C20" s="38">
        <f>'4.5 Invest'!C4</f>
        <v>107730</v>
      </c>
      <c r="D20" s="38">
        <f>'4.5 Invest'!D4</f>
        <v>116057.52899999999</v>
      </c>
      <c r="E20" s="38">
        <f>'4.5 Invest'!E4</f>
        <v>125028.77599170001</v>
      </c>
      <c r="F20" s="38">
        <f>'4.5 Invest'!F4</f>
        <v>134693.50037585842</v>
      </c>
      <c r="G20" s="38">
        <f>'4.5 Invest'!G4</f>
        <v>145105.30795491231</v>
      </c>
      <c r="H20" s="38">
        <f>'4.5 Invest'!H4</f>
        <v>156321.94825982707</v>
      </c>
      <c r="I20" s="38">
        <f>'4.5 Invest'!I4</f>
        <v>168405.63486031169</v>
      </c>
      <c r="J20" s="38">
        <f>'4.5 Invest'!J4</f>
        <v>181423.39043501377</v>
      </c>
      <c r="K20" s="38">
        <f>'4.5 Invest'!K4</f>
        <v>195447.41851564034</v>
      </c>
      <c r="L20" s="35">
        <f t="shared" si="1"/>
        <v>0.95447418515640337</v>
      </c>
      <c r="M20" s="36">
        <f t="shared" si="2"/>
        <v>95447.41851564034</v>
      </c>
    </row>
    <row r="21" spans="1:13" s="5" customFormat="1" ht="68" x14ac:dyDescent="0.2">
      <c r="A21" s="12" t="s">
        <v>19</v>
      </c>
      <c r="B21" s="38">
        <f>'4.5 Invest'!B11</f>
        <v>150000</v>
      </c>
      <c r="C21" s="38">
        <f>'4.5 Invest'!C11</f>
        <v>187500</v>
      </c>
      <c r="D21" s="38">
        <f>'4.5 Invest'!D11</f>
        <v>225000</v>
      </c>
      <c r="E21" s="38">
        <f>'4.5 Invest'!E11</f>
        <v>262500</v>
      </c>
      <c r="F21" s="38">
        <f>'4.5 Invest'!F11</f>
        <v>300000</v>
      </c>
      <c r="G21" s="38">
        <f>'4.5 Invest'!G11</f>
        <v>360000</v>
      </c>
      <c r="H21" s="38">
        <f>'4.5 Invest'!H11</f>
        <v>420000</v>
      </c>
      <c r="I21" s="38">
        <f>'4.5 Invest'!I11</f>
        <v>480000</v>
      </c>
      <c r="J21" s="38">
        <f>'4.5 Invest'!J11</f>
        <v>540000</v>
      </c>
      <c r="K21" s="38">
        <f>'4.5 Invest'!K11</f>
        <v>600000</v>
      </c>
      <c r="L21" s="35">
        <f t="shared" si="1"/>
        <v>3</v>
      </c>
      <c r="M21" s="36">
        <f t="shared" si="2"/>
        <v>450000</v>
      </c>
    </row>
    <row r="22" spans="1:13" s="5" customFormat="1" ht="17" x14ac:dyDescent="0.2">
      <c r="A22" s="8" t="s">
        <v>4</v>
      </c>
      <c r="B22" s="38">
        <f>SUM(B17:B21)</f>
        <v>3250000</v>
      </c>
      <c r="C22" s="38">
        <f>SUM(C17:C21)</f>
        <v>3025090</v>
      </c>
      <c r="D22" s="38">
        <f t="shared" ref="D22:K22" si="3">SUM(D17:D21)</f>
        <v>3101981.5290000001</v>
      </c>
      <c r="E22" s="38">
        <f t="shared" si="3"/>
        <v>2930768.2759917001</v>
      </c>
      <c r="F22" s="38">
        <f t="shared" si="3"/>
        <v>3081030.8998758588</v>
      </c>
      <c r="G22" s="38">
        <f t="shared" si="3"/>
        <v>3018947.8734299121</v>
      </c>
      <c r="H22" s="38">
        <f t="shared" si="3"/>
        <v>3187326.3020275775</v>
      </c>
      <c r="I22" s="38">
        <f t="shared" si="3"/>
        <v>3359106.9943200499</v>
      </c>
      <c r="J22" s="38">
        <f t="shared" si="3"/>
        <v>3534235.9985000812</v>
      </c>
      <c r="K22" s="38">
        <f t="shared" si="3"/>
        <v>3712631.9039996001</v>
      </c>
      <c r="L22" s="35">
        <f t="shared" si="1"/>
        <v>0.14234827815372308</v>
      </c>
      <c r="M22" s="36">
        <f t="shared" si="2"/>
        <v>462631.90399960009</v>
      </c>
    </row>
    <row r="23" spans="1:13" x14ac:dyDescent="0.2">
      <c r="L23" s="6"/>
    </row>
    <row r="24" spans="1:13" ht="34" x14ac:dyDescent="0.2">
      <c r="A24" s="5" t="s">
        <v>34</v>
      </c>
      <c r="B24" s="16">
        <f>B22</f>
        <v>3250000</v>
      </c>
      <c r="C24" s="4">
        <f>B24*(1+0.02)</f>
        <v>3315000</v>
      </c>
      <c r="D24" s="4">
        <f t="shared" ref="D24:K24" si="4">C24*(1+0.02)</f>
        <v>3381300</v>
      </c>
      <c r="E24" s="4">
        <f t="shared" si="4"/>
        <v>3448926</v>
      </c>
      <c r="F24" s="4">
        <f t="shared" si="4"/>
        <v>3517904.52</v>
      </c>
      <c r="G24" s="4">
        <f t="shared" si="4"/>
        <v>3588262.6104000001</v>
      </c>
      <c r="H24" s="4">
        <f t="shared" si="4"/>
        <v>3660027.8626080002</v>
      </c>
      <c r="I24" s="4">
        <f t="shared" si="4"/>
        <v>3733228.4198601604</v>
      </c>
      <c r="J24" s="4">
        <f t="shared" si="4"/>
        <v>3807892.9882573639</v>
      </c>
      <c r="K24" s="4">
        <f t="shared" si="4"/>
        <v>3884050.8480225112</v>
      </c>
      <c r="L24" s="15">
        <f>K24/B24-1</f>
        <v>0.19509256862231106</v>
      </c>
      <c r="M24" s="16">
        <f t="shared" ref="M24" si="5">K24-B24</f>
        <v>634050.84802251123</v>
      </c>
    </row>
    <row r="25" spans="1:13" x14ac:dyDescent="0.2">
      <c r="B25" s="16"/>
      <c r="L25" s="15"/>
      <c r="M25" s="16"/>
    </row>
    <row r="26" spans="1:13" ht="17" x14ac:dyDescent="0.2">
      <c r="A26" s="5" t="s">
        <v>10</v>
      </c>
      <c r="B26" s="17">
        <v>1</v>
      </c>
      <c r="C26" s="17">
        <f>1+B26</f>
        <v>2</v>
      </c>
      <c r="D26" s="17">
        <f t="shared" ref="D26:K26" si="6">1+C26</f>
        <v>3</v>
      </c>
      <c r="E26" s="17">
        <f t="shared" si="6"/>
        <v>4</v>
      </c>
      <c r="F26" s="17">
        <f t="shared" si="6"/>
        <v>5</v>
      </c>
      <c r="G26" s="17">
        <f t="shared" si="6"/>
        <v>6</v>
      </c>
      <c r="H26" s="17">
        <f t="shared" si="6"/>
        <v>7</v>
      </c>
      <c r="I26" s="17">
        <f t="shared" si="6"/>
        <v>8</v>
      </c>
      <c r="J26" s="17">
        <f t="shared" si="6"/>
        <v>9</v>
      </c>
      <c r="K26" s="17">
        <f t="shared" si="6"/>
        <v>10</v>
      </c>
      <c r="L26" s="15"/>
      <c r="M26" s="16"/>
    </row>
    <row r="27" spans="1:13" ht="34" x14ac:dyDescent="0.2">
      <c r="A27" s="5" t="s">
        <v>37</v>
      </c>
      <c r="B27" s="16">
        <f>B22</f>
        <v>3250000</v>
      </c>
      <c r="C27" s="16">
        <f>B27</f>
        <v>3250000</v>
      </c>
      <c r="D27" s="16">
        <f t="shared" ref="D27:K27" si="7">C27</f>
        <v>3250000</v>
      </c>
      <c r="E27" s="16">
        <f t="shared" si="7"/>
        <v>3250000</v>
      </c>
      <c r="F27" s="16">
        <f t="shared" si="7"/>
        <v>3250000</v>
      </c>
      <c r="G27" s="16">
        <f t="shared" si="7"/>
        <v>3250000</v>
      </c>
      <c r="H27" s="16">
        <f t="shared" si="7"/>
        <v>3250000</v>
      </c>
      <c r="I27" s="16">
        <f t="shared" si="7"/>
        <v>3250000</v>
      </c>
      <c r="J27" s="16">
        <f t="shared" si="7"/>
        <v>3250000</v>
      </c>
      <c r="K27" s="16">
        <f t="shared" si="7"/>
        <v>3250000</v>
      </c>
      <c r="L27" s="15"/>
      <c r="M27" s="16"/>
    </row>
    <row r="28" spans="1:13" ht="17" x14ac:dyDescent="0.2">
      <c r="A28" s="5" t="s">
        <v>5</v>
      </c>
      <c r="B28" s="16">
        <f>B22</f>
        <v>3250000</v>
      </c>
      <c r="C28" s="16">
        <f t="shared" ref="C28:K28" si="8">C22</f>
        <v>3025090</v>
      </c>
      <c r="D28" s="16">
        <f t="shared" si="8"/>
        <v>3101981.5290000001</v>
      </c>
      <c r="E28" s="16">
        <f t="shared" si="8"/>
        <v>2930768.2759917001</v>
      </c>
      <c r="F28" s="16">
        <f t="shared" si="8"/>
        <v>3081030.8998758588</v>
      </c>
      <c r="G28" s="16">
        <f t="shared" si="8"/>
        <v>3018947.8734299121</v>
      </c>
      <c r="H28" s="16">
        <f t="shared" si="8"/>
        <v>3187326.3020275775</v>
      </c>
      <c r="I28" s="16">
        <f t="shared" si="8"/>
        <v>3359106.9943200499</v>
      </c>
      <c r="J28" s="16">
        <f t="shared" si="8"/>
        <v>3534235.9985000812</v>
      </c>
      <c r="K28" s="16">
        <f t="shared" si="8"/>
        <v>3712631.9039996001</v>
      </c>
      <c r="L28" s="15"/>
      <c r="M28" s="16"/>
    </row>
    <row r="29" spans="1:13" ht="17" x14ac:dyDescent="0.2">
      <c r="A29" s="5" t="s">
        <v>35</v>
      </c>
      <c r="B29" s="16">
        <f>B27-B28</f>
        <v>0</v>
      </c>
      <c r="C29" s="16">
        <f t="shared" ref="C29:K29" si="9">C27-C28</f>
        <v>224910</v>
      </c>
      <c r="D29" s="16">
        <f t="shared" si="9"/>
        <v>148018.4709999999</v>
      </c>
      <c r="E29" s="16">
        <f t="shared" si="9"/>
        <v>319231.72400829988</v>
      </c>
      <c r="F29" s="16">
        <f t="shared" si="9"/>
        <v>168969.1001241412</v>
      </c>
      <c r="G29" s="16">
        <f t="shared" si="9"/>
        <v>231052.12657008786</v>
      </c>
      <c r="H29" s="16">
        <f t="shared" si="9"/>
        <v>62673.697972422466</v>
      </c>
      <c r="I29" s="16">
        <f t="shared" si="9"/>
        <v>-109106.99432004988</v>
      </c>
      <c r="J29" s="16">
        <f t="shared" si="9"/>
        <v>-284235.99850008124</v>
      </c>
      <c r="K29" s="16">
        <f t="shared" si="9"/>
        <v>-462631.90399960009</v>
      </c>
      <c r="L29" s="15"/>
      <c r="M29" s="16"/>
    </row>
    <row r="30" spans="1:13" ht="34" x14ac:dyDescent="0.2">
      <c r="A30" s="5" t="s">
        <v>36</v>
      </c>
      <c r="B30" s="16">
        <f>B29</f>
        <v>0</v>
      </c>
      <c r="C30" s="16">
        <f>SUM(B29:C29)</f>
        <v>224910</v>
      </c>
      <c r="D30" s="16">
        <f>SUM(B29:D29)</f>
        <v>372928.4709999999</v>
      </c>
      <c r="E30" s="16">
        <f>SUM(B29:E29)</f>
        <v>692160.19500829978</v>
      </c>
      <c r="F30" s="16">
        <f>SUM(B29:F29)</f>
        <v>861129.29513244098</v>
      </c>
      <c r="G30" s="16">
        <f>SUM(B29:G29)</f>
        <v>1092181.4217025288</v>
      </c>
      <c r="H30" s="16">
        <f>SUM(B29:H29)</f>
        <v>1154855.1196749513</v>
      </c>
      <c r="I30" s="16">
        <f>SUM(B29:I29)</f>
        <v>1045748.1253549014</v>
      </c>
      <c r="J30" s="16">
        <f>SUM(B29:J29)</f>
        <v>761512.12685482018</v>
      </c>
      <c r="K30" s="16">
        <f>SUM(B29:K29)</f>
        <v>298880.22285522008</v>
      </c>
      <c r="L30" s="15"/>
      <c r="M30" s="16"/>
    </row>
    <row r="31" spans="1:13" x14ac:dyDescent="0.2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5"/>
      <c r="M31" s="16"/>
    </row>
    <row r="32" spans="1:13" ht="17" x14ac:dyDescent="0.2">
      <c r="A32" s="5" t="s">
        <v>10</v>
      </c>
      <c r="B32" s="17">
        <v>1</v>
      </c>
      <c r="C32" s="17">
        <f>1+B32</f>
        <v>2</v>
      </c>
      <c r="D32" s="17">
        <f t="shared" ref="D32" si="10">1+C32</f>
        <v>3</v>
      </c>
      <c r="E32" s="17">
        <f t="shared" ref="E32" si="11">1+D32</f>
        <v>4</v>
      </c>
      <c r="F32" s="17">
        <f t="shared" ref="F32" si="12">1+E32</f>
        <v>5</v>
      </c>
      <c r="G32" s="17">
        <f t="shared" ref="G32" si="13">1+F32</f>
        <v>6</v>
      </c>
      <c r="H32" s="17">
        <f t="shared" ref="H32" si="14">1+G32</f>
        <v>7</v>
      </c>
      <c r="I32" s="17">
        <f t="shared" ref="I32" si="15">1+H32</f>
        <v>8</v>
      </c>
      <c r="J32" s="17">
        <f t="shared" ref="J32" si="16">1+I32</f>
        <v>9</v>
      </c>
      <c r="K32" s="17">
        <f t="shared" ref="K32" si="17">1+J32</f>
        <v>10</v>
      </c>
      <c r="L32" s="15"/>
      <c r="M32" s="16"/>
    </row>
    <row r="33" spans="1:13" ht="51" x14ac:dyDescent="0.2">
      <c r="A33" s="5" t="s">
        <v>38</v>
      </c>
      <c r="B33" s="16">
        <f>B28</f>
        <v>3250000</v>
      </c>
      <c r="C33" s="16">
        <f>B33*(1.005)</f>
        <v>3266249.9999999995</v>
      </c>
      <c r="D33" s="16">
        <f t="shared" ref="D33:K33" si="18">C33*(1.005)</f>
        <v>3282581.2499999991</v>
      </c>
      <c r="E33" s="16">
        <f t="shared" si="18"/>
        <v>3298994.1562499986</v>
      </c>
      <c r="F33" s="16">
        <f t="shared" si="18"/>
        <v>3315489.1270312481</v>
      </c>
      <c r="G33" s="16">
        <f t="shared" si="18"/>
        <v>3332066.5726664038</v>
      </c>
      <c r="H33" s="16">
        <f t="shared" si="18"/>
        <v>3348726.9055297356</v>
      </c>
      <c r="I33" s="16">
        <f t="shared" si="18"/>
        <v>3365470.5400573839</v>
      </c>
      <c r="J33" s="16">
        <f t="shared" si="18"/>
        <v>3382297.8927576705</v>
      </c>
      <c r="K33" s="16">
        <f t="shared" si="18"/>
        <v>3399209.3822214585</v>
      </c>
      <c r="L33" s="15"/>
      <c r="M33" s="16"/>
    </row>
    <row r="34" spans="1:13" ht="17" x14ac:dyDescent="0.2">
      <c r="A34" s="5" t="s">
        <v>5</v>
      </c>
      <c r="B34" s="16">
        <f>B28</f>
        <v>3250000</v>
      </c>
      <c r="C34" s="16">
        <f t="shared" ref="C34:K34" si="19">C28</f>
        <v>3025090</v>
      </c>
      <c r="D34" s="16">
        <f t="shared" si="19"/>
        <v>3101981.5290000001</v>
      </c>
      <c r="E34" s="16">
        <f t="shared" si="19"/>
        <v>2930768.2759917001</v>
      </c>
      <c r="F34" s="16">
        <f t="shared" si="19"/>
        <v>3081030.8998758588</v>
      </c>
      <c r="G34" s="16">
        <f t="shared" si="19"/>
        <v>3018947.8734299121</v>
      </c>
      <c r="H34" s="16">
        <f t="shared" si="19"/>
        <v>3187326.3020275775</v>
      </c>
      <c r="I34" s="16">
        <f t="shared" si="19"/>
        <v>3359106.9943200499</v>
      </c>
      <c r="J34" s="16">
        <f t="shared" si="19"/>
        <v>3534235.9985000812</v>
      </c>
      <c r="K34" s="16">
        <f t="shared" si="19"/>
        <v>3712631.9039996001</v>
      </c>
      <c r="L34" s="15"/>
      <c r="M34" s="16"/>
    </row>
    <row r="35" spans="1:13" ht="17" x14ac:dyDescent="0.2">
      <c r="A35" s="5" t="s">
        <v>35</v>
      </c>
      <c r="B35" s="16">
        <f>B33-B34</f>
        <v>0</v>
      </c>
      <c r="C35" s="16">
        <f t="shared" ref="C35:K35" si="20">C33-C34</f>
        <v>241159.99999999953</v>
      </c>
      <c r="D35" s="16">
        <f t="shared" si="20"/>
        <v>180599.72099999897</v>
      </c>
      <c r="E35" s="16">
        <f t="shared" si="20"/>
        <v>368225.88025829848</v>
      </c>
      <c r="F35" s="16">
        <f t="shared" si="20"/>
        <v>234458.22715538926</v>
      </c>
      <c r="G35" s="16">
        <f t="shared" si="20"/>
        <v>313118.6992364917</v>
      </c>
      <c r="H35" s="16">
        <f t="shared" si="20"/>
        <v>161400.60350215808</v>
      </c>
      <c r="I35" s="16">
        <f t="shared" si="20"/>
        <v>6363.5457373340614</v>
      </c>
      <c r="J35" s="16">
        <f t="shared" si="20"/>
        <v>-151938.10574241076</v>
      </c>
      <c r="K35" s="16">
        <f t="shared" si="20"/>
        <v>-313422.52177814161</v>
      </c>
      <c r="L35" s="15"/>
      <c r="M35" s="16"/>
    </row>
    <row r="36" spans="1:13" ht="34" x14ac:dyDescent="0.2">
      <c r="A36" s="5" t="s">
        <v>36</v>
      </c>
      <c r="B36" s="16">
        <f>B35</f>
        <v>0</v>
      </c>
      <c r="C36" s="16">
        <f>SUM(B35:C35)</f>
        <v>241159.99999999953</v>
      </c>
      <c r="D36" s="16">
        <f>SUM(B35:D35)</f>
        <v>421759.72099999851</v>
      </c>
      <c r="E36" s="16">
        <f>SUM(B35:E35)</f>
        <v>789985.60125829699</v>
      </c>
      <c r="F36" s="16">
        <f>SUM(B35:F35)</f>
        <v>1024443.8284136862</v>
      </c>
      <c r="G36" s="16">
        <f>SUM(B35:G35)</f>
        <v>1337562.5276501779</v>
      </c>
      <c r="H36" s="16">
        <f>SUM(B35:H35)</f>
        <v>1498963.131152336</v>
      </c>
      <c r="I36" s="16">
        <f>SUM(B35:I35)</f>
        <v>1505326.6768896701</v>
      </c>
      <c r="J36" s="16">
        <f>SUM(B35:J35)</f>
        <v>1353388.5711472593</v>
      </c>
      <c r="K36" s="16">
        <f>SUM(B35:K35)</f>
        <v>1039966.0493691177</v>
      </c>
      <c r="L36" s="15"/>
      <c r="M36" s="16"/>
    </row>
    <row r="37" spans="1:13" x14ac:dyDescent="0.2">
      <c r="B37" s="16"/>
      <c r="L37" s="15"/>
      <c r="M37" s="16"/>
    </row>
    <row r="38" spans="1:13" x14ac:dyDescent="0.2">
      <c r="B38" s="7"/>
    </row>
    <row r="67" spans="1:11" x14ac:dyDescent="0.2">
      <c r="A67" s="45" t="s">
        <v>51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</row>
    <row r="68" spans="1:11" ht="17" x14ac:dyDescent="0.2">
      <c r="A68" s="8" t="s">
        <v>10</v>
      </c>
      <c r="B68" s="13">
        <f>B16</f>
        <v>1</v>
      </c>
      <c r="C68" s="13">
        <f t="shared" ref="C68:K68" si="21">C16</f>
        <v>2</v>
      </c>
      <c r="D68" s="13">
        <f t="shared" si="21"/>
        <v>3</v>
      </c>
      <c r="E68" s="13">
        <f t="shared" si="21"/>
        <v>4</v>
      </c>
      <c r="F68" s="13">
        <f t="shared" si="21"/>
        <v>5</v>
      </c>
      <c r="G68" s="13">
        <f t="shared" si="21"/>
        <v>6</v>
      </c>
      <c r="H68" s="13">
        <f t="shared" si="21"/>
        <v>7</v>
      </c>
      <c r="I68" s="13">
        <f t="shared" si="21"/>
        <v>8</v>
      </c>
      <c r="J68" s="13">
        <f t="shared" si="21"/>
        <v>9</v>
      </c>
      <c r="K68" s="13">
        <f t="shared" si="21"/>
        <v>10</v>
      </c>
    </row>
    <row r="69" spans="1:11" ht="34" x14ac:dyDescent="0.2">
      <c r="A69" s="8" t="s">
        <v>0</v>
      </c>
      <c r="B69" s="11">
        <f>B17/B22</f>
        <v>0.13846153846153847</v>
      </c>
      <c r="C69" s="11">
        <f t="shared" ref="C69:K69" si="22">C17/C22</f>
        <v>0.11900472382639855</v>
      </c>
      <c r="D69" s="11">
        <f t="shared" si="22"/>
        <v>9.2843879728982101E-2</v>
      </c>
      <c r="E69" s="11">
        <f t="shared" si="22"/>
        <v>7.8614198839052976E-2</v>
      </c>
      <c r="F69" s="11">
        <f t="shared" si="22"/>
        <v>7.7023570263304336E-2</v>
      </c>
      <c r="G69" s="11">
        <f t="shared" si="22"/>
        <v>8.0965743778243712E-2</v>
      </c>
      <c r="H69" s="11">
        <f t="shared" si="22"/>
        <v>7.8989183077943198E-2</v>
      </c>
      <c r="I69" s="11">
        <f t="shared" si="22"/>
        <v>7.7198264378741818E-2</v>
      </c>
      <c r="J69" s="11">
        <f t="shared" si="22"/>
        <v>7.5574111868045885E-2</v>
      </c>
      <c r="K69" s="11">
        <f t="shared" si="22"/>
        <v>7.4100976405419391E-2</v>
      </c>
    </row>
    <row r="70" spans="1:11" ht="102" x14ac:dyDescent="0.2">
      <c r="A70" s="8" t="s">
        <v>57</v>
      </c>
      <c r="B70" s="11">
        <f>B18/B22</f>
        <v>0.55384615384615388</v>
      </c>
      <c r="C70" s="11">
        <f t="shared" ref="C70:K70" si="23">C18/C22</f>
        <v>0.52803718236482222</v>
      </c>
      <c r="D70" s="11">
        <f t="shared" si="23"/>
        <v>0.54070244594290107</v>
      </c>
      <c r="E70" s="11">
        <f t="shared" si="23"/>
        <v>0.50952313843192054</v>
      </c>
      <c r="F70" s="11">
        <f t="shared" si="23"/>
        <v>0.50791239778317476</v>
      </c>
      <c r="G70" s="11">
        <f t="shared" si="23"/>
        <v>0.46372302816857552</v>
      </c>
      <c r="H70" s="11">
        <f t="shared" si="23"/>
        <v>0.4592252853559064</v>
      </c>
      <c r="I70" s="11">
        <f t="shared" si="23"/>
        <v>0.45517416776317393</v>
      </c>
      <c r="J70" s="11">
        <f t="shared" si="23"/>
        <v>0.45148040509542059</v>
      </c>
      <c r="K70" s="11">
        <f t="shared" si="23"/>
        <v>0.4480635278438645</v>
      </c>
    </row>
    <row r="71" spans="1:11" ht="17" x14ac:dyDescent="0.2">
      <c r="A71" s="8" t="s">
        <v>3</v>
      </c>
      <c r="B71" s="11">
        <f>B19/B22</f>
        <v>0.23076923076923078</v>
      </c>
      <c r="C71" s="11">
        <f t="shared" ref="C71:K71" si="24">C19/C22</f>
        <v>0.25536430321081355</v>
      </c>
      <c r="D71" s="11">
        <f t="shared" si="24"/>
        <v>0.25650539584499249</v>
      </c>
      <c r="E71" s="11">
        <f t="shared" si="24"/>
        <v>0.27963495330339139</v>
      </c>
      <c r="F71" s="11">
        <f t="shared" si="24"/>
        <v>0.27397700150751875</v>
      </c>
      <c r="G71" s="11">
        <f t="shared" si="24"/>
        <v>0.28799952572125304</v>
      </c>
      <c r="H71" s="11">
        <f t="shared" si="24"/>
        <v>0.28096879250394419</v>
      </c>
      <c r="I71" s="11">
        <f t="shared" si="24"/>
        <v>0.27459839791598117</v>
      </c>
      <c r="J71" s="11">
        <f t="shared" si="24"/>
        <v>0.26882119967198631</v>
      </c>
      <c r="K71" s="11">
        <f t="shared" si="24"/>
        <v>0.2635811772284008</v>
      </c>
    </row>
    <row r="72" spans="1:11" ht="17" x14ac:dyDescent="0.2">
      <c r="A72" s="12" t="s">
        <v>18</v>
      </c>
      <c r="B72" s="11">
        <f>B20/B22</f>
        <v>3.0769230769230771E-2</v>
      </c>
      <c r="C72" s="11">
        <f t="shared" ref="C72:K72" si="25">C20/C22</f>
        <v>3.5612163605049769E-2</v>
      </c>
      <c r="D72" s="11">
        <f t="shared" si="25"/>
        <v>3.7413997444857121E-2</v>
      </c>
      <c r="E72" s="11">
        <f t="shared" si="25"/>
        <v>4.2660751112911968E-2</v>
      </c>
      <c r="F72" s="11">
        <f t="shared" si="25"/>
        <v>4.3717023539519027E-2</v>
      </c>
      <c r="G72" s="11">
        <f t="shared" si="25"/>
        <v>4.8064860354827543E-2</v>
      </c>
      <c r="H72" s="11">
        <f t="shared" si="25"/>
        <v>4.9044852470983225E-2</v>
      </c>
      <c r="I72" s="11">
        <f t="shared" si="25"/>
        <v>5.0134049062762989E-2</v>
      </c>
      <c r="J72" s="11">
        <f t="shared" si="25"/>
        <v>5.1333128436247412E-2</v>
      </c>
      <c r="K72" s="11">
        <f t="shared" si="25"/>
        <v>5.2643898875373504E-2</v>
      </c>
    </row>
    <row r="73" spans="1:11" ht="68" x14ac:dyDescent="0.2">
      <c r="A73" s="12" t="s">
        <v>19</v>
      </c>
      <c r="B73" s="11">
        <f>B21/B22</f>
        <v>4.6153846153846156E-2</v>
      </c>
      <c r="C73" s="11">
        <f t="shared" ref="C73:K73" si="26">C21/C22</f>
        <v>6.1981626992915914E-2</v>
      </c>
      <c r="D73" s="11">
        <f t="shared" si="26"/>
        <v>7.2534281038267256E-2</v>
      </c>
      <c r="E73" s="11">
        <f t="shared" si="26"/>
        <v>8.9566958312723113E-2</v>
      </c>
      <c r="F73" s="11">
        <f t="shared" si="26"/>
        <v>9.7370006906483036E-2</v>
      </c>
      <c r="G73" s="11">
        <f t="shared" si="26"/>
        <v>0.11924684197710039</v>
      </c>
      <c r="H73" s="11">
        <f t="shared" si="26"/>
        <v>0.13177188659122296</v>
      </c>
      <c r="I73" s="11">
        <f t="shared" si="26"/>
        <v>0.14289512087934</v>
      </c>
      <c r="J73" s="11">
        <f t="shared" si="26"/>
        <v>0.15279115492829973</v>
      </c>
      <c r="K73" s="11">
        <f t="shared" si="26"/>
        <v>0.16161041964694181</v>
      </c>
    </row>
    <row r="74" spans="1:11" ht="17" x14ac:dyDescent="0.2">
      <c r="A74" s="8" t="s">
        <v>4</v>
      </c>
      <c r="B74" s="11">
        <f>SUM(B69:B73)</f>
        <v>1</v>
      </c>
      <c r="C74" s="11">
        <f t="shared" ref="C74:K74" si="27">SUM(C69:C73)</f>
        <v>1.0000000000000002</v>
      </c>
      <c r="D74" s="11">
        <f t="shared" si="27"/>
        <v>1</v>
      </c>
      <c r="E74" s="11">
        <f t="shared" si="27"/>
        <v>1</v>
      </c>
      <c r="F74" s="11">
        <f t="shared" si="27"/>
        <v>0.99999999999999989</v>
      </c>
      <c r="G74" s="11">
        <f t="shared" si="27"/>
        <v>1.0000000000000002</v>
      </c>
      <c r="H74" s="11">
        <f t="shared" si="27"/>
        <v>1</v>
      </c>
      <c r="I74" s="11">
        <f t="shared" si="27"/>
        <v>0.99999999999999989</v>
      </c>
      <c r="J74" s="11">
        <f t="shared" si="27"/>
        <v>1</v>
      </c>
      <c r="K74" s="11">
        <f t="shared" si="27"/>
        <v>0.99999999999999989</v>
      </c>
    </row>
  </sheetData>
  <mergeCells count="3">
    <mergeCell ref="A2:C2"/>
    <mergeCell ref="A15:K15"/>
    <mergeCell ref="A67:K6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CA579-9B42-B74E-A380-D9BD0566C8F7}">
  <dimension ref="A1:M7"/>
  <sheetViews>
    <sheetView workbookViewId="0">
      <selection activeCell="C14" sqref="C14"/>
    </sheetView>
  </sheetViews>
  <sheetFormatPr baseColWidth="10" defaultRowHeight="16" x14ac:dyDescent="0.2"/>
  <cols>
    <col min="1" max="1" width="18.33203125" customWidth="1"/>
    <col min="2" max="11" width="8.6640625" bestFit="1" customWidth="1"/>
    <col min="12" max="12" width="10.83203125" customWidth="1"/>
    <col min="13" max="13" width="10.33203125" customWidth="1"/>
  </cols>
  <sheetData>
    <row r="1" spans="1:13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47" t="s">
        <v>42</v>
      </c>
      <c r="B2" s="48"/>
      <c r="C2" s="48"/>
      <c r="D2" s="48"/>
      <c r="E2" s="48"/>
      <c r="F2" s="48"/>
      <c r="G2" s="48"/>
      <c r="H2" s="48"/>
      <c r="I2" s="48"/>
      <c r="J2" s="48"/>
      <c r="K2" s="49"/>
      <c r="L2" s="4"/>
      <c r="M2" s="4"/>
    </row>
    <row r="3" spans="1:13" ht="17" x14ac:dyDescent="0.2">
      <c r="A3" s="8" t="s">
        <v>10</v>
      </c>
      <c r="B3" s="18">
        <v>1</v>
      </c>
      <c r="C3" s="18">
        <f>B3+1</f>
        <v>2</v>
      </c>
      <c r="D3" s="18">
        <f t="shared" ref="D3:K3" si="0">C3+1</f>
        <v>3</v>
      </c>
      <c r="E3" s="18">
        <f t="shared" si="0"/>
        <v>4</v>
      </c>
      <c r="F3" s="18">
        <f t="shared" si="0"/>
        <v>5</v>
      </c>
      <c r="G3" s="18">
        <f t="shared" si="0"/>
        <v>6</v>
      </c>
      <c r="H3" s="18">
        <f t="shared" si="0"/>
        <v>7</v>
      </c>
      <c r="I3" s="18">
        <f t="shared" si="0"/>
        <v>8</v>
      </c>
      <c r="J3" s="18">
        <f t="shared" si="0"/>
        <v>9</v>
      </c>
      <c r="K3" s="18">
        <f t="shared" si="0"/>
        <v>10</v>
      </c>
      <c r="L3" s="4" t="s">
        <v>40</v>
      </c>
      <c r="M3" s="4" t="s">
        <v>41</v>
      </c>
    </row>
    <row r="4" spans="1:13" ht="17" x14ac:dyDescent="0.2">
      <c r="A4" s="8" t="s">
        <v>7</v>
      </c>
      <c r="B4" s="10">
        <v>450000</v>
      </c>
      <c r="C4" s="10">
        <f>B4*0.8</f>
        <v>360000</v>
      </c>
      <c r="D4" s="10">
        <f>C4*0.8</f>
        <v>288000</v>
      </c>
      <c r="E4" s="10">
        <f>D4*0.8</f>
        <v>230400</v>
      </c>
      <c r="F4" s="10">
        <f>F5*F6</f>
        <v>237312</v>
      </c>
      <c r="G4" s="10">
        <f t="shared" ref="G4:K4" si="1">G5*G6</f>
        <v>244431.35999999999</v>
      </c>
      <c r="H4" s="10">
        <f t="shared" si="1"/>
        <v>251764.3008</v>
      </c>
      <c r="I4" s="10">
        <f t="shared" si="1"/>
        <v>259317.22982399998</v>
      </c>
      <c r="J4" s="10">
        <f t="shared" si="1"/>
        <v>267096.74671872001</v>
      </c>
      <c r="K4" s="10">
        <f t="shared" si="1"/>
        <v>275109.64912028163</v>
      </c>
      <c r="L4" s="19">
        <f>K4/B4-1</f>
        <v>-0.38864522417715197</v>
      </c>
      <c r="M4" s="16">
        <f>K4-B4</f>
        <v>-174890.35087971837</v>
      </c>
    </row>
    <row r="5" spans="1:13" ht="17" x14ac:dyDescent="0.2">
      <c r="A5" s="8" t="s">
        <v>8</v>
      </c>
      <c r="B5" s="20">
        <v>50</v>
      </c>
      <c r="C5" s="20">
        <f>B5*1.03</f>
        <v>51.5</v>
      </c>
      <c r="D5" s="20">
        <f t="shared" ref="D5:K5" si="2">C5*1.03</f>
        <v>53.045000000000002</v>
      </c>
      <c r="E5" s="20">
        <f t="shared" si="2"/>
        <v>54.63635</v>
      </c>
      <c r="F5" s="20">
        <f t="shared" si="2"/>
        <v>56.275440500000002</v>
      </c>
      <c r="G5" s="20">
        <f t="shared" si="2"/>
        <v>57.963703715000001</v>
      </c>
      <c r="H5" s="20">
        <f t="shared" si="2"/>
        <v>59.702614826450002</v>
      </c>
      <c r="I5" s="20">
        <f t="shared" si="2"/>
        <v>61.493693271243501</v>
      </c>
      <c r="J5" s="20">
        <f t="shared" si="2"/>
        <v>63.338504069380811</v>
      </c>
      <c r="K5" s="20">
        <f t="shared" si="2"/>
        <v>65.238659191462233</v>
      </c>
      <c r="L5" s="19">
        <f t="shared" ref="L5:L6" si="3">K5/B5-1</f>
        <v>0.30477318382924468</v>
      </c>
      <c r="M5" s="16">
        <f t="shared" ref="M5:M6" si="4">K5-B5</f>
        <v>15.238659191462233</v>
      </c>
    </row>
    <row r="6" spans="1:13" ht="17" x14ac:dyDescent="0.2">
      <c r="A6" s="8" t="s">
        <v>9</v>
      </c>
      <c r="B6" s="21">
        <f>B4/B5</f>
        <v>9000</v>
      </c>
      <c r="C6" s="21">
        <f t="shared" ref="C6:E6" si="5">C4/C5</f>
        <v>6990.2912621359219</v>
      </c>
      <c r="D6" s="21">
        <f t="shared" si="5"/>
        <v>5429.3524366104248</v>
      </c>
      <c r="E6" s="21">
        <f t="shared" si="5"/>
        <v>4216.9727662993591</v>
      </c>
      <c r="F6" s="21">
        <f>E6</f>
        <v>4216.9727662993591</v>
      </c>
      <c r="G6" s="21">
        <f t="shared" ref="G6:K6" si="6">F6</f>
        <v>4216.9727662993591</v>
      </c>
      <c r="H6" s="21">
        <f t="shared" si="6"/>
        <v>4216.9727662993591</v>
      </c>
      <c r="I6" s="21">
        <f t="shared" si="6"/>
        <v>4216.9727662993591</v>
      </c>
      <c r="J6" s="21">
        <f t="shared" si="6"/>
        <v>4216.9727662993591</v>
      </c>
      <c r="K6" s="21">
        <f t="shared" si="6"/>
        <v>4216.9727662993591</v>
      </c>
      <c r="L6" s="19">
        <f t="shared" si="3"/>
        <v>-0.53144747041118234</v>
      </c>
      <c r="M6" s="17">
        <f t="shared" si="4"/>
        <v>-4783.0272337006409</v>
      </c>
    </row>
    <row r="7" spans="1:13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</sheetData>
  <mergeCells count="1">
    <mergeCell ref="A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62653-6A59-B240-83A6-ECEAB7A30071}">
  <dimension ref="A2:M10"/>
  <sheetViews>
    <sheetView workbookViewId="0">
      <selection activeCell="H24" sqref="H24"/>
    </sheetView>
  </sheetViews>
  <sheetFormatPr baseColWidth="10" defaultRowHeight="16" x14ac:dyDescent="0.2"/>
  <cols>
    <col min="1" max="1" width="14" style="4" customWidth="1"/>
    <col min="2" max="11" width="10.1640625" style="4" bestFit="1" customWidth="1"/>
    <col min="12" max="13" width="11" style="4" bestFit="1" customWidth="1"/>
    <col min="14" max="16384" width="10.83203125" style="4"/>
  </cols>
  <sheetData>
    <row r="2" spans="1:13" x14ac:dyDescent="0.2">
      <c r="A2" s="47" t="s">
        <v>43</v>
      </c>
      <c r="B2" s="48"/>
      <c r="C2" s="48"/>
      <c r="D2" s="48"/>
      <c r="E2" s="48"/>
      <c r="F2" s="48"/>
      <c r="G2" s="48"/>
      <c r="H2" s="48"/>
      <c r="I2" s="48"/>
      <c r="J2" s="48"/>
      <c r="K2" s="49"/>
    </row>
    <row r="3" spans="1:13" ht="17" x14ac:dyDescent="0.2">
      <c r="A3" s="8" t="s">
        <v>10</v>
      </c>
      <c r="B3" s="18">
        <v>1</v>
      </c>
      <c r="C3" s="18">
        <f>B3+1</f>
        <v>2</v>
      </c>
      <c r="D3" s="18">
        <f t="shared" ref="D3:K3" si="0">C3+1</f>
        <v>3</v>
      </c>
      <c r="E3" s="18">
        <f t="shared" si="0"/>
        <v>4</v>
      </c>
      <c r="F3" s="18">
        <f t="shared" si="0"/>
        <v>5</v>
      </c>
      <c r="G3" s="18">
        <f t="shared" si="0"/>
        <v>6</v>
      </c>
      <c r="H3" s="18">
        <f t="shared" si="0"/>
        <v>7</v>
      </c>
      <c r="I3" s="18">
        <f t="shared" si="0"/>
        <v>8</v>
      </c>
      <c r="J3" s="18">
        <f t="shared" si="0"/>
        <v>9</v>
      </c>
      <c r="K3" s="18">
        <f t="shared" si="0"/>
        <v>10</v>
      </c>
      <c r="L3" s="4" t="s">
        <v>40</v>
      </c>
      <c r="M3" s="4" t="s">
        <v>41</v>
      </c>
    </row>
    <row r="4" spans="1:13" ht="17" x14ac:dyDescent="0.2">
      <c r="A4" s="8" t="s">
        <v>11</v>
      </c>
      <c r="B4" s="10">
        <v>1750000</v>
      </c>
      <c r="C4" s="10">
        <f>B4*0.9</f>
        <v>1575000</v>
      </c>
      <c r="D4" s="10">
        <f>D5*D6</f>
        <v>1701000</v>
      </c>
      <c r="E4" s="10">
        <f>D4*0.9</f>
        <v>1530900</v>
      </c>
      <c r="F4" s="10">
        <f>F5*F6</f>
        <v>1653372.0000000002</v>
      </c>
      <c r="G4" s="10">
        <f>F4*0.9</f>
        <v>1488034.8000000003</v>
      </c>
      <c r="H4" s="10">
        <f>H5*H6</f>
        <v>1607077.5840000005</v>
      </c>
      <c r="I4" s="10">
        <f t="shared" ref="I4:K4" si="1">I5*I6</f>
        <v>1735643.7907200006</v>
      </c>
      <c r="J4" s="10">
        <f t="shared" si="1"/>
        <v>1874495.2939776008</v>
      </c>
      <c r="K4" s="10">
        <f t="shared" si="1"/>
        <v>2024454.917495809</v>
      </c>
      <c r="L4" s="15">
        <f t="shared" ref="L4:L10" si="2">K4/B4-1</f>
        <v>0.15683138142617659</v>
      </c>
      <c r="M4" s="16">
        <f t="shared" ref="M4:M10" si="3">K4-B4</f>
        <v>274454.91749580903</v>
      </c>
    </row>
    <row r="5" spans="1:13" ht="17" x14ac:dyDescent="0.2">
      <c r="A5" s="8" t="s">
        <v>12</v>
      </c>
      <c r="B5" s="10">
        <v>1000</v>
      </c>
      <c r="C5" s="10">
        <f>B5*1.08</f>
        <v>1080</v>
      </c>
      <c r="D5" s="10">
        <f t="shared" ref="D5:K5" si="4">C5*1.08</f>
        <v>1166.4000000000001</v>
      </c>
      <c r="E5" s="10">
        <f t="shared" si="4"/>
        <v>1259.7120000000002</v>
      </c>
      <c r="F5" s="10">
        <f t="shared" si="4"/>
        <v>1360.4889600000004</v>
      </c>
      <c r="G5" s="10">
        <f t="shared" si="4"/>
        <v>1469.3280768000004</v>
      </c>
      <c r="H5" s="10">
        <f t="shared" si="4"/>
        <v>1586.8743229440006</v>
      </c>
      <c r="I5" s="10">
        <f t="shared" si="4"/>
        <v>1713.8242687795207</v>
      </c>
      <c r="J5" s="10">
        <f t="shared" si="4"/>
        <v>1850.9302102818824</v>
      </c>
      <c r="K5" s="10">
        <f t="shared" si="4"/>
        <v>1999.0046271044332</v>
      </c>
      <c r="L5" s="15">
        <f t="shared" si="2"/>
        <v>0.99900462710443327</v>
      </c>
      <c r="M5" s="16">
        <f t="shared" si="3"/>
        <v>999.00462710443321</v>
      </c>
    </row>
    <row r="6" spans="1:13" ht="17" x14ac:dyDescent="0.2">
      <c r="A6" s="8" t="s">
        <v>13</v>
      </c>
      <c r="B6" s="21">
        <f>B4/B5</f>
        <v>1750</v>
      </c>
      <c r="C6" s="21">
        <f>C4/C5</f>
        <v>1458.3333333333333</v>
      </c>
      <c r="D6" s="21">
        <f>C6</f>
        <v>1458.3333333333333</v>
      </c>
      <c r="E6" s="21">
        <f>E4/E5</f>
        <v>1215.2777777777776</v>
      </c>
      <c r="F6" s="21">
        <f>E6</f>
        <v>1215.2777777777776</v>
      </c>
      <c r="G6" s="21">
        <f>G4/G5</f>
        <v>1012.7314814814814</v>
      </c>
      <c r="H6" s="21">
        <f>G6</f>
        <v>1012.7314814814814</v>
      </c>
      <c r="I6" s="21">
        <f t="shared" ref="I6:K6" si="5">H6</f>
        <v>1012.7314814814814</v>
      </c>
      <c r="J6" s="21">
        <f t="shared" si="5"/>
        <v>1012.7314814814814</v>
      </c>
      <c r="K6" s="21">
        <f t="shared" si="5"/>
        <v>1012.7314814814814</v>
      </c>
      <c r="L6" s="15">
        <f t="shared" si="2"/>
        <v>-0.42129629629629639</v>
      </c>
      <c r="M6" s="17">
        <f t="shared" si="3"/>
        <v>-737.26851851851859</v>
      </c>
    </row>
    <row r="7" spans="1:13" ht="34" x14ac:dyDescent="0.2">
      <c r="A7" s="8" t="s">
        <v>14</v>
      </c>
      <c r="B7" s="10">
        <v>50000</v>
      </c>
      <c r="C7" s="10">
        <f>B7*1.3</f>
        <v>65000</v>
      </c>
      <c r="D7" s="10">
        <f>D9*D8</f>
        <v>68250</v>
      </c>
      <c r="E7" s="10">
        <f>D7*1.3</f>
        <v>88725</v>
      </c>
      <c r="F7" s="10">
        <f>F9*F8</f>
        <v>93161.250000000015</v>
      </c>
      <c r="G7" s="10">
        <f>F7*1.3</f>
        <v>121109.62500000003</v>
      </c>
      <c r="H7" s="10">
        <f>H9*H8</f>
        <v>127165.10625000004</v>
      </c>
      <c r="I7" s="10">
        <f t="shared" ref="I7:K7" si="6">I9*I8</f>
        <v>133523.36156250007</v>
      </c>
      <c r="J7" s="10">
        <f t="shared" si="6"/>
        <v>140199.52964062509</v>
      </c>
      <c r="K7" s="10">
        <f t="shared" si="6"/>
        <v>147209.50612265634</v>
      </c>
      <c r="L7" s="15">
        <f t="shared" si="2"/>
        <v>1.9441901224531266</v>
      </c>
      <c r="M7" s="16">
        <f t="shared" si="3"/>
        <v>97209.506122656341</v>
      </c>
    </row>
    <row r="8" spans="1:13" ht="17" x14ac:dyDescent="0.2">
      <c r="A8" s="8" t="s">
        <v>15</v>
      </c>
      <c r="B8" s="22">
        <v>25</v>
      </c>
      <c r="C8" s="20">
        <f>B8*1.05</f>
        <v>26.25</v>
      </c>
      <c r="D8" s="20">
        <f t="shared" ref="D8:K8" si="7">C8*1.05</f>
        <v>27.5625</v>
      </c>
      <c r="E8" s="20">
        <f t="shared" si="7"/>
        <v>28.940625000000001</v>
      </c>
      <c r="F8" s="20">
        <f t="shared" si="7"/>
        <v>30.387656250000003</v>
      </c>
      <c r="G8" s="20">
        <f t="shared" si="7"/>
        <v>31.907039062500004</v>
      </c>
      <c r="H8" s="20">
        <f t="shared" si="7"/>
        <v>33.502391015625008</v>
      </c>
      <c r="I8" s="20">
        <f t="shared" si="7"/>
        <v>35.177510566406262</v>
      </c>
      <c r="J8" s="20">
        <f t="shared" si="7"/>
        <v>36.936386094726579</v>
      </c>
      <c r="K8" s="20">
        <f t="shared" si="7"/>
        <v>38.783205399462908</v>
      </c>
      <c r="L8" s="15">
        <f t="shared" si="2"/>
        <v>0.55132821597851622</v>
      </c>
      <c r="M8" s="23">
        <f t="shared" si="3"/>
        <v>13.783205399462908</v>
      </c>
    </row>
    <row r="9" spans="1:13" ht="17" x14ac:dyDescent="0.2">
      <c r="A9" s="8" t="s">
        <v>16</v>
      </c>
      <c r="B9" s="21">
        <f>B7/B8</f>
        <v>2000</v>
      </c>
      <c r="C9" s="21">
        <f>C7/C8</f>
        <v>2476.1904761904761</v>
      </c>
      <c r="D9" s="21">
        <f>C9</f>
        <v>2476.1904761904761</v>
      </c>
      <c r="E9" s="21">
        <f>E7/E8</f>
        <v>3065.7596371882087</v>
      </c>
      <c r="F9" s="21">
        <f>E9</f>
        <v>3065.7596371882087</v>
      </c>
      <c r="G9" s="21">
        <f>G7/G8</f>
        <v>3795.7024079473063</v>
      </c>
      <c r="H9" s="21">
        <f>G9</f>
        <v>3795.7024079473063</v>
      </c>
      <c r="I9" s="21">
        <f t="shared" ref="I9:K9" si="8">H9</f>
        <v>3795.7024079473063</v>
      </c>
      <c r="J9" s="21">
        <f t="shared" si="8"/>
        <v>3795.7024079473063</v>
      </c>
      <c r="K9" s="21">
        <f t="shared" si="8"/>
        <v>3795.7024079473063</v>
      </c>
      <c r="L9" s="15">
        <f t="shared" si="2"/>
        <v>0.89785120397365303</v>
      </c>
      <c r="M9" s="17">
        <f t="shared" si="3"/>
        <v>1795.7024079473063</v>
      </c>
    </row>
    <row r="10" spans="1:13" ht="17" x14ac:dyDescent="0.2">
      <c r="A10" s="8" t="s">
        <v>17</v>
      </c>
      <c r="B10" s="10">
        <f>B7+B4</f>
        <v>1800000</v>
      </c>
      <c r="C10" s="10">
        <f t="shared" ref="C10:K10" si="9">C7+C4</f>
        <v>1640000</v>
      </c>
      <c r="D10" s="10">
        <f t="shared" si="9"/>
        <v>1769250</v>
      </c>
      <c r="E10" s="10">
        <f t="shared" si="9"/>
        <v>1619625</v>
      </c>
      <c r="F10" s="10">
        <f t="shared" si="9"/>
        <v>1746533.2500000002</v>
      </c>
      <c r="G10" s="10">
        <f t="shared" si="9"/>
        <v>1609144.4250000003</v>
      </c>
      <c r="H10" s="10">
        <f t="shared" si="9"/>
        <v>1734242.6902500005</v>
      </c>
      <c r="I10" s="10">
        <f t="shared" si="9"/>
        <v>1869167.1522825006</v>
      </c>
      <c r="J10" s="10">
        <f t="shared" si="9"/>
        <v>2014694.8236182258</v>
      </c>
      <c r="K10" s="10">
        <f t="shared" si="9"/>
        <v>2171664.4236184652</v>
      </c>
      <c r="L10" s="15">
        <f t="shared" si="2"/>
        <v>0.20648023534359172</v>
      </c>
      <c r="M10" s="16">
        <f t="shared" si="3"/>
        <v>371664.4236184652</v>
      </c>
    </row>
  </sheetData>
  <mergeCells count="1">
    <mergeCell ref="A2:K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CFAC1-7096-E146-A6FD-F45F6C849882}">
  <dimension ref="A2:M33"/>
  <sheetViews>
    <sheetView topLeftCell="A14" workbookViewId="0">
      <selection activeCell="H36" sqref="H36"/>
    </sheetView>
  </sheetViews>
  <sheetFormatPr baseColWidth="10" defaultRowHeight="16" x14ac:dyDescent="0.2"/>
  <cols>
    <col min="1" max="1" width="14.1640625" style="5" customWidth="1"/>
    <col min="2" max="11" width="10.1640625" style="4" bestFit="1" customWidth="1"/>
    <col min="12" max="13" width="11" style="4" bestFit="1" customWidth="1"/>
    <col min="14" max="16384" width="10.83203125" style="4"/>
  </cols>
  <sheetData>
    <row r="2" spans="1:13" ht="17" x14ac:dyDescent="0.2">
      <c r="A2" s="5" t="s">
        <v>10</v>
      </c>
      <c r="B2" s="4">
        <v>0</v>
      </c>
      <c r="C2" s="4">
        <f>B2+1</f>
        <v>1</v>
      </c>
      <c r="D2" s="4">
        <f t="shared" ref="D2:K2" si="0">C2+1</f>
        <v>2</v>
      </c>
      <c r="E2" s="4">
        <f t="shared" si="0"/>
        <v>3</v>
      </c>
      <c r="F2" s="4">
        <f t="shared" si="0"/>
        <v>4</v>
      </c>
      <c r="G2" s="4">
        <f t="shared" si="0"/>
        <v>5</v>
      </c>
      <c r="H2" s="4">
        <f t="shared" si="0"/>
        <v>6</v>
      </c>
      <c r="I2" s="4">
        <f t="shared" si="0"/>
        <v>7</v>
      </c>
      <c r="J2" s="4">
        <f t="shared" si="0"/>
        <v>8</v>
      </c>
      <c r="K2" s="4">
        <f t="shared" si="0"/>
        <v>9</v>
      </c>
      <c r="L2" s="4">
        <f>K2+1</f>
        <v>10</v>
      </c>
    </row>
    <row r="3" spans="1:13" ht="17" x14ac:dyDescent="0.2">
      <c r="A3" s="5" t="s">
        <v>22</v>
      </c>
      <c r="B3" s="24">
        <v>1.2999999999999999E-2</v>
      </c>
      <c r="D3" s="24"/>
      <c r="E3" s="24"/>
      <c r="F3" s="24"/>
      <c r="G3" s="24"/>
      <c r="H3" s="24"/>
      <c r="I3" s="24"/>
      <c r="J3" s="24"/>
      <c r="K3" s="24"/>
      <c r="L3" s="24"/>
    </row>
    <row r="4" spans="1:13" ht="17" x14ac:dyDescent="0.2">
      <c r="A4" s="5" t="s">
        <v>23</v>
      </c>
      <c r="B4" s="24">
        <f>(G6-B6)/5</f>
        <v>3.599999999999999E-2</v>
      </c>
      <c r="C4" s="24"/>
      <c r="D4" s="24"/>
      <c r="E4" s="24"/>
      <c r="F4" s="24"/>
      <c r="G4" s="24"/>
      <c r="H4" s="24"/>
      <c r="I4" s="24"/>
      <c r="J4" s="24"/>
      <c r="K4" s="24"/>
      <c r="L4" s="24"/>
    </row>
    <row r="5" spans="1:13" ht="17" x14ac:dyDescent="0.2">
      <c r="A5" s="5" t="s">
        <v>20</v>
      </c>
      <c r="B5" s="24">
        <v>0.31</v>
      </c>
      <c r="C5" s="24">
        <f>B5+B3</f>
        <v>0.32300000000000001</v>
      </c>
      <c r="D5" s="24">
        <f>C5+B3</f>
        <v>0.33600000000000002</v>
      </c>
      <c r="E5" s="24">
        <f>D5+B3</f>
        <v>0.34900000000000003</v>
      </c>
      <c r="F5" s="24">
        <f>E5+B3</f>
        <v>0.36200000000000004</v>
      </c>
      <c r="G5" s="24">
        <v>0.44</v>
      </c>
      <c r="H5" s="24">
        <f>G5+B3</f>
        <v>0.45300000000000001</v>
      </c>
      <c r="I5" s="24">
        <f>H5+B3</f>
        <v>0.46600000000000003</v>
      </c>
      <c r="J5" s="24">
        <f>I5+B3</f>
        <v>0.47900000000000004</v>
      </c>
      <c r="K5" s="24">
        <f>J5+B3</f>
        <v>0.49200000000000005</v>
      </c>
      <c r="L5" s="24">
        <f>K5+B3</f>
        <v>0.505</v>
      </c>
    </row>
    <row r="6" spans="1:13" ht="17" x14ac:dyDescent="0.2">
      <c r="A6" s="5" t="s">
        <v>21</v>
      </c>
      <c r="B6" s="24">
        <v>0.52</v>
      </c>
      <c r="C6" s="24">
        <f>B6+B4</f>
        <v>0.55600000000000005</v>
      </c>
      <c r="D6" s="24">
        <f>C6+B4</f>
        <v>0.59200000000000008</v>
      </c>
      <c r="E6" s="24">
        <f>D6+B4</f>
        <v>0.62800000000000011</v>
      </c>
      <c r="F6" s="24">
        <f>E6+B4</f>
        <v>0.66400000000000015</v>
      </c>
      <c r="G6" s="24">
        <v>0.7</v>
      </c>
      <c r="H6" s="24">
        <f>G6+B4</f>
        <v>0.73599999999999999</v>
      </c>
      <c r="I6" s="24">
        <f>H6+B4</f>
        <v>0.77200000000000002</v>
      </c>
      <c r="J6" s="24">
        <f>I6+B4</f>
        <v>0.80800000000000005</v>
      </c>
      <c r="K6" s="24">
        <f>J6+B4</f>
        <v>0.84400000000000008</v>
      </c>
      <c r="L6" s="24">
        <f>K6+B4</f>
        <v>0.88000000000000012</v>
      </c>
    </row>
    <row r="8" spans="1:13" x14ac:dyDescent="0.2">
      <c r="C8" s="24">
        <f>C5-B5</f>
        <v>1.3000000000000012E-2</v>
      </c>
      <c r="D8" s="24">
        <f>D5-B5</f>
        <v>2.6000000000000023E-2</v>
      </c>
      <c r="E8" s="24">
        <f>E5-B5</f>
        <v>3.9000000000000035E-2</v>
      </c>
      <c r="F8" s="24">
        <f>F5-B5</f>
        <v>5.2000000000000046E-2</v>
      </c>
      <c r="G8" s="24">
        <f>G5-B5</f>
        <v>0.13</v>
      </c>
      <c r="H8" s="24">
        <f>H5-B5</f>
        <v>0.14300000000000002</v>
      </c>
      <c r="I8" s="24">
        <f>I5-B5</f>
        <v>0.15600000000000003</v>
      </c>
      <c r="J8" s="24">
        <f>J5-B5</f>
        <v>0.16900000000000004</v>
      </c>
      <c r="K8" s="24">
        <f>K5-B5</f>
        <v>0.18200000000000005</v>
      </c>
      <c r="L8" s="24">
        <f>L5-B5</f>
        <v>0.19500000000000001</v>
      </c>
    </row>
    <row r="11" spans="1:13" x14ac:dyDescent="0.2">
      <c r="A11" s="46" t="s">
        <v>44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</row>
    <row r="12" spans="1:13" ht="17" x14ac:dyDescent="0.2">
      <c r="A12" s="8" t="s">
        <v>10</v>
      </c>
      <c r="B12" s="18">
        <v>1</v>
      </c>
      <c r="C12" s="18">
        <f>B12+1</f>
        <v>2</v>
      </c>
      <c r="D12" s="18">
        <f t="shared" ref="D12:K12" si="1">C12+1</f>
        <v>3</v>
      </c>
      <c r="E12" s="18">
        <f t="shared" si="1"/>
        <v>4</v>
      </c>
      <c r="F12" s="18">
        <f t="shared" si="1"/>
        <v>5</v>
      </c>
      <c r="G12" s="18">
        <f t="shared" si="1"/>
        <v>6</v>
      </c>
      <c r="H12" s="18">
        <f t="shared" si="1"/>
        <v>7</v>
      </c>
      <c r="I12" s="18">
        <f t="shared" si="1"/>
        <v>8</v>
      </c>
      <c r="J12" s="18">
        <f t="shared" si="1"/>
        <v>9</v>
      </c>
      <c r="K12" s="18">
        <f t="shared" si="1"/>
        <v>10</v>
      </c>
    </row>
    <row r="13" spans="1:13" ht="17" x14ac:dyDescent="0.2">
      <c r="A13" s="8" t="s">
        <v>26</v>
      </c>
      <c r="B13" s="26"/>
      <c r="C13" s="11">
        <f>C8</f>
        <v>1.3000000000000012E-2</v>
      </c>
      <c r="D13" s="11">
        <f t="shared" ref="D13:K13" si="2">D8</f>
        <v>2.6000000000000023E-2</v>
      </c>
      <c r="E13" s="11">
        <f t="shared" si="2"/>
        <v>3.9000000000000035E-2</v>
      </c>
      <c r="F13" s="11">
        <f t="shared" si="2"/>
        <v>5.2000000000000046E-2</v>
      </c>
      <c r="G13" s="11">
        <f t="shared" si="2"/>
        <v>0.13</v>
      </c>
      <c r="H13" s="11">
        <f t="shared" si="2"/>
        <v>0.14300000000000002</v>
      </c>
      <c r="I13" s="11">
        <f t="shared" si="2"/>
        <v>0.15600000000000003</v>
      </c>
      <c r="J13" s="11">
        <f t="shared" si="2"/>
        <v>0.16900000000000004</v>
      </c>
      <c r="K13" s="11">
        <f t="shared" si="2"/>
        <v>0.18200000000000005</v>
      </c>
    </row>
    <row r="14" spans="1:13" ht="17" x14ac:dyDescent="0.2">
      <c r="A14" s="8" t="s">
        <v>24</v>
      </c>
      <c r="B14" s="10">
        <f>'4.2 Article Purchasing'!B10</f>
        <v>1800000</v>
      </c>
      <c r="C14" s="10">
        <f>'4.2 Article Purchasing'!C10</f>
        <v>1640000</v>
      </c>
      <c r="D14" s="10">
        <f>'4.2 Article Purchasing'!D10</f>
        <v>1769250</v>
      </c>
      <c r="E14" s="10">
        <f>'4.2 Article Purchasing'!E10</f>
        <v>1619625</v>
      </c>
      <c r="F14" s="10">
        <f>'4.2 Article Purchasing'!F10</f>
        <v>1746533.2500000002</v>
      </c>
      <c r="G14" s="10">
        <f>'4.2 Article Purchasing'!G10</f>
        <v>1609144.4250000003</v>
      </c>
      <c r="H14" s="10">
        <f>'4.2 Article Purchasing'!H10</f>
        <v>1734242.6902500005</v>
      </c>
      <c r="I14" s="10">
        <f>'4.2 Article Purchasing'!I10</f>
        <v>1869167.1522825006</v>
      </c>
      <c r="J14" s="10">
        <f>'4.2 Article Purchasing'!J10</f>
        <v>2014694.8236182258</v>
      </c>
      <c r="K14" s="10">
        <f>'4.2 Article Purchasing'!K10</f>
        <v>2171664.4236184652</v>
      </c>
    </row>
    <row r="15" spans="1:13" ht="17" x14ac:dyDescent="0.2">
      <c r="A15" s="8" t="s">
        <v>27</v>
      </c>
      <c r="B15" s="10"/>
      <c r="C15" s="10">
        <f>C14-C16</f>
        <v>21320</v>
      </c>
      <c r="D15" s="10">
        <f t="shared" ref="D15:K15" si="3">D14-D16</f>
        <v>46000.5</v>
      </c>
      <c r="E15" s="10">
        <f t="shared" si="3"/>
        <v>63165.375</v>
      </c>
      <c r="F15" s="10">
        <f t="shared" si="3"/>
        <v>90819.72900000005</v>
      </c>
      <c r="G15" s="10">
        <f t="shared" si="3"/>
        <v>209188.77524999995</v>
      </c>
      <c r="H15" s="10">
        <f t="shared" si="3"/>
        <v>247996.7047057501</v>
      </c>
      <c r="I15" s="10">
        <f t="shared" si="3"/>
        <v>291590.0757560702</v>
      </c>
      <c r="J15" s="10">
        <f t="shared" si="3"/>
        <v>340483.4251914802</v>
      </c>
      <c r="K15" s="10">
        <f t="shared" si="3"/>
        <v>395242.92509856075</v>
      </c>
    </row>
    <row r="16" spans="1:13" ht="34" x14ac:dyDescent="0.2">
      <c r="A16" s="8" t="s">
        <v>25</v>
      </c>
      <c r="B16" s="10">
        <f>B14</f>
        <v>1800000</v>
      </c>
      <c r="C16" s="10">
        <f>C14*(1-C13)</f>
        <v>1618680</v>
      </c>
      <c r="D16" s="10">
        <f t="shared" ref="D16:K16" si="4">D14*(1-D13)</f>
        <v>1723249.5</v>
      </c>
      <c r="E16" s="10">
        <f t="shared" si="4"/>
        <v>1556459.625</v>
      </c>
      <c r="F16" s="10">
        <f t="shared" si="4"/>
        <v>1655713.5210000002</v>
      </c>
      <c r="G16" s="10">
        <f t="shared" si="4"/>
        <v>1399955.6497500003</v>
      </c>
      <c r="H16" s="10">
        <f t="shared" si="4"/>
        <v>1486245.9855442503</v>
      </c>
      <c r="I16" s="10">
        <f t="shared" si="4"/>
        <v>1577577.0765264304</v>
      </c>
      <c r="J16" s="10">
        <f t="shared" si="4"/>
        <v>1674211.3984267456</v>
      </c>
      <c r="K16" s="10">
        <f t="shared" si="4"/>
        <v>1776421.4985199044</v>
      </c>
      <c r="L16" s="25">
        <f>K16/B16-1</f>
        <v>-1.3099167488942021E-2</v>
      </c>
      <c r="M16" s="16">
        <f>K16-B16</f>
        <v>-23578.501480095554</v>
      </c>
    </row>
    <row r="19" spans="1:12" ht="17" x14ac:dyDescent="0.2">
      <c r="A19" s="5" t="s">
        <v>10</v>
      </c>
      <c r="B19" s="4">
        <v>0</v>
      </c>
      <c r="C19" s="4">
        <f>B19+1</f>
        <v>1</v>
      </c>
      <c r="D19" s="4">
        <f t="shared" ref="D19" si="5">C19+1</f>
        <v>2</v>
      </c>
      <c r="E19" s="4">
        <f t="shared" ref="E19" si="6">D19+1</f>
        <v>3</v>
      </c>
      <c r="F19" s="4">
        <f t="shared" ref="F19" si="7">E19+1</f>
        <v>4</v>
      </c>
      <c r="G19" s="4">
        <f t="shared" ref="G19" si="8">F19+1</f>
        <v>5</v>
      </c>
      <c r="H19" s="4">
        <f t="shared" ref="H19" si="9">G19+1</f>
        <v>6</v>
      </c>
      <c r="I19" s="4">
        <f t="shared" ref="I19" si="10">H19+1</f>
        <v>7</v>
      </c>
      <c r="J19" s="4">
        <f t="shared" ref="J19" si="11">I19+1</f>
        <v>8</v>
      </c>
      <c r="K19" s="4">
        <f t="shared" ref="K19" si="12">J19+1</f>
        <v>9</v>
      </c>
      <c r="L19" s="4">
        <f>K19+1</f>
        <v>10</v>
      </c>
    </row>
    <row r="20" spans="1:12" ht="17" x14ac:dyDescent="0.2">
      <c r="A20" s="5" t="s">
        <v>22</v>
      </c>
      <c r="B20" s="24">
        <v>2.5999999999999999E-2</v>
      </c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17" x14ac:dyDescent="0.2">
      <c r="A21" s="5" t="s">
        <v>23</v>
      </c>
      <c r="B21" s="24">
        <f>(G23-B23)/5</f>
        <v>3.599999999999999E-2</v>
      </c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spans="1:12" ht="17" x14ac:dyDescent="0.2">
      <c r="A22" s="5" t="s">
        <v>20</v>
      </c>
      <c r="B22" s="24">
        <v>0.31</v>
      </c>
      <c r="C22" s="24">
        <f>B22+B20</f>
        <v>0.33600000000000002</v>
      </c>
      <c r="D22" s="24">
        <f>C22+B20</f>
        <v>0.36200000000000004</v>
      </c>
      <c r="E22" s="24">
        <f>D22+B20</f>
        <v>0.38800000000000007</v>
      </c>
      <c r="F22" s="24">
        <f>E22+B20</f>
        <v>0.41400000000000009</v>
      </c>
      <c r="G22" s="24">
        <v>0.44</v>
      </c>
      <c r="H22" s="24">
        <f>G22+B20</f>
        <v>0.46600000000000003</v>
      </c>
      <c r="I22" s="24">
        <f>H22+B20</f>
        <v>0.49200000000000005</v>
      </c>
      <c r="J22" s="24">
        <f>I22+B20</f>
        <v>0.51800000000000002</v>
      </c>
      <c r="K22" s="24">
        <f>J22+B20</f>
        <v>0.54400000000000004</v>
      </c>
      <c r="L22" s="24">
        <f>K22+B20</f>
        <v>0.57000000000000006</v>
      </c>
    </row>
    <row r="23" spans="1:12" ht="17" x14ac:dyDescent="0.2">
      <c r="A23" s="5" t="s">
        <v>21</v>
      </c>
      <c r="B23" s="24">
        <v>0.52</v>
      </c>
      <c r="C23" s="24">
        <f>B23+B21</f>
        <v>0.55600000000000005</v>
      </c>
      <c r="D23" s="24">
        <f>C23+B21</f>
        <v>0.59200000000000008</v>
      </c>
      <c r="E23" s="24">
        <f>D23+B21</f>
        <v>0.62800000000000011</v>
      </c>
      <c r="F23" s="24">
        <f>E23+B21</f>
        <v>0.66400000000000015</v>
      </c>
      <c r="G23" s="24">
        <v>0.7</v>
      </c>
      <c r="H23" s="24">
        <f>G23+B21</f>
        <v>0.73599999999999999</v>
      </c>
      <c r="I23" s="24">
        <f>H23+B21</f>
        <v>0.77200000000000002</v>
      </c>
      <c r="J23" s="24">
        <f>I23+B21</f>
        <v>0.80800000000000005</v>
      </c>
      <c r="K23" s="24">
        <f>J23+B21</f>
        <v>0.84400000000000008</v>
      </c>
      <c r="L23" s="24">
        <f>K23+B21</f>
        <v>0.88000000000000012</v>
      </c>
    </row>
    <row r="25" spans="1:12" x14ac:dyDescent="0.2">
      <c r="C25" s="24">
        <f>C22-B22</f>
        <v>2.6000000000000023E-2</v>
      </c>
      <c r="D25" s="24">
        <f>D22-B22</f>
        <v>5.2000000000000046E-2</v>
      </c>
      <c r="E25" s="24">
        <f>E22-B22</f>
        <v>7.8000000000000069E-2</v>
      </c>
      <c r="F25" s="24">
        <f>F22-B22</f>
        <v>0.10400000000000009</v>
      </c>
      <c r="G25" s="24">
        <f>G22-B22</f>
        <v>0.13</v>
      </c>
      <c r="H25" s="24">
        <f>H22-B22</f>
        <v>0.15600000000000003</v>
      </c>
      <c r="I25" s="24">
        <f>I22-B22</f>
        <v>0.18200000000000005</v>
      </c>
      <c r="J25" s="24">
        <f>J22-B22</f>
        <v>0.20800000000000002</v>
      </c>
      <c r="K25" s="24">
        <f>K22-B22</f>
        <v>0.23400000000000004</v>
      </c>
      <c r="L25" s="24">
        <f>L22-B22</f>
        <v>0.26000000000000006</v>
      </c>
    </row>
    <row r="28" spans="1:12" x14ac:dyDescent="0.2">
      <c r="A28" s="46" t="s">
        <v>45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</row>
    <row r="29" spans="1:12" ht="17" x14ac:dyDescent="0.2">
      <c r="A29" s="8" t="s">
        <v>10</v>
      </c>
      <c r="B29" s="18">
        <v>1</v>
      </c>
      <c r="C29" s="18">
        <f>B29+1</f>
        <v>2</v>
      </c>
      <c r="D29" s="18">
        <f t="shared" ref="D29" si="13">C29+1</f>
        <v>3</v>
      </c>
      <c r="E29" s="18">
        <f t="shared" ref="E29" si="14">D29+1</f>
        <v>4</v>
      </c>
      <c r="F29" s="18">
        <f t="shared" ref="F29" si="15">E29+1</f>
        <v>5</v>
      </c>
      <c r="G29" s="18">
        <f t="shared" ref="G29" si="16">F29+1</f>
        <v>6</v>
      </c>
      <c r="H29" s="18">
        <f t="shared" ref="H29" si="17">G29+1</f>
        <v>7</v>
      </c>
      <c r="I29" s="18">
        <f t="shared" ref="I29" si="18">H29+1</f>
        <v>8</v>
      </c>
      <c r="J29" s="18">
        <f t="shared" ref="J29" si="19">I29+1</f>
        <v>9</v>
      </c>
      <c r="K29" s="18">
        <f t="shared" ref="K29" si="20">J29+1</f>
        <v>10</v>
      </c>
    </row>
    <row r="30" spans="1:12" ht="17" x14ac:dyDescent="0.2">
      <c r="A30" s="8" t="s">
        <v>26</v>
      </c>
      <c r="B30" s="26"/>
      <c r="C30" s="11">
        <f>C25</f>
        <v>2.6000000000000023E-2</v>
      </c>
      <c r="D30" s="11">
        <f t="shared" ref="D30:K30" si="21">D25</f>
        <v>5.2000000000000046E-2</v>
      </c>
      <c r="E30" s="11">
        <f t="shared" si="21"/>
        <v>7.8000000000000069E-2</v>
      </c>
      <c r="F30" s="11">
        <f t="shared" si="21"/>
        <v>0.10400000000000009</v>
      </c>
      <c r="G30" s="11">
        <f t="shared" si="21"/>
        <v>0.13</v>
      </c>
      <c r="H30" s="11">
        <f t="shared" si="21"/>
        <v>0.15600000000000003</v>
      </c>
      <c r="I30" s="11">
        <f t="shared" si="21"/>
        <v>0.18200000000000005</v>
      </c>
      <c r="J30" s="11">
        <f t="shared" si="21"/>
        <v>0.20800000000000002</v>
      </c>
      <c r="K30" s="11">
        <f t="shared" si="21"/>
        <v>0.23400000000000004</v>
      </c>
    </row>
    <row r="31" spans="1:12" ht="17" x14ac:dyDescent="0.2">
      <c r="A31" s="8" t="s">
        <v>24</v>
      </c>
      <c r="B31" s="10">
        <f>B14</f>
        <v>1800000</v>
      </c>
      <c r="C31" s="10">
        <f t="shared" ref="C31:K31" si="22">C14</f>
        <v>1640000</v>
      </c>
      <c r="D31" s="10">
        <f t="shared" si="22"/>
        <v>1769250</v>
      </c>
      <c r="E31" s="10">
        <f t="shared" si="22"/>
        <v>1619625</v>
      </c>
      <c r="F31" s="10">
        <f t="shared" si="22"/>
        <v>1746533.2500000002</v>
      </c>
      <c r="G31" s="10">
        <f t="shared" si="22"/>
        <v>1609144.4250000003</v>
      </c>
      <c r="H31" s="10">
        <f t="shared" si="22"/>
        <v>1734242.6902500005</v>
      </c>
      <c r="I31" s="10">
        <f t="shared" si="22"/>
        <v>1869167.1522825006</v>
      </c>
      <c r="J31" s="10">
        <f t="shared" si="22"/>
        <v>2014694.8236182258</v>
      </c>
      <c r="K31" s="10">
        <f t="shared" si="22"/>
        <v>2171664.4236184652</v>
      </c>
    </row>
    <row r="32" spans="1:12" ht="17" x14ac:dyDescent="0.2">
      <c r="A32" s="8" t="s">
        <v>27</v>
      </c>
      <c r="B32" s="10"/>
      <c r="C32" s="10">
        <f>C31-C33</f>
        <v>42640</v>
      </c>
      <c r="D32" s="10">
        <f t="shared" ref="D32:K32" si="23">D31-D33</f>
        <v>92001</v>
      </c>
      <c r="E32" s="10">
        <f t="shared" si="23"/>
        <v>126330.75</v>
      </c>
      <c r="F32" s="10">
        <f t="shared" si="23"/>
        <v>181639.4580000001</v>
      </c>
      <c r="G32" s="10">
        <f t="shared" si="23"/>
        <v>209188.77524999995</v>
      </c>
      <c r="H32" s="10">
        <f t="shared" si="23"/>
        <v>270541.85967900022</v>
      </c>
      <c r="I32" s="10">
        <f t="shared" si="23"/>
        <v>340188.42171541532</v>
      </c>
      <c r="J32" s="10">
        <f t="shared" si="23"/>
        <v>419056.52331259078</v>
      </c>
      <c r="K32" s="10">
        <f t="shared" si="23"/>
        <v>508169.47512672073</v>
      </c>
    </row>
    <row r="33" spans="1:13" ht="34" x14ac:dyDescent="0.2">
      <c r="A33" s="8" t="s">
        <v>25</v>
      </c>
      <c r="B33" s="10">
        <f>B31</f>
        <v>1800000</v>
      </c>
      <c r="C33" s="10">
        <f>C31*(1-C30)</f>
        <v>1597360</v>
      </c>
      <c r="D33" s="10">
        <f t="shared" ref="D33:K33" si="24">D31*(1-D30)</f>
        <v>1677249</v>
      </c>
      <c r="E33" s="10">
        <f t="shared" si="24"/>
        <v>1493294.25</v>
      </c>
      <c r="F33" s="10">
        <f t="shared" si="24"/>
        <v>1564893.7920000001</v>
      </c>
      <c r="G33" s="10">
        <f t="shared" si="24"/>
        <v>1399955.6497500003</v>
      </c>
      <c r="H33" s="10">
        <f t="shared" si="24"/>
        <v>1463700.8305710002</v>
      </c>
      <c r="I33" s="10">
        <f t="shared" si="24"/>
        <v>1528978.7305670853</v>
      </c>
      <c r="J33" s="10">
        <f t="shared" si="24"/>
        <v>1595638.300305635</v>
      </c>
      <c r="K33" s="10">
        <f t="shared" si="24"/>
        <v>1663494.9484917445</v>
      </c>
      <c r="L33" s="25">
        <f>K33/B33-1</f>
        <v>-7.5836139726808582E-2</v>
      </c>
      <c r="M33" s="16">
        <f>K33-B33</f>
        <v>-136505.05150825554</v>
      </c>
    </row>
  </sheetData>
  <mergeCells count="2">
    <mergeCell ref="A11:K11"/>
    <mergeCell ref="A28:K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EF724-56FE-4A40-B7BC-A97ED7E57896}">
  <dimension ref="A3:M5"/>
  <sheetViews>
    <sheetView workbookViewId="0">
      <selection activeCell="J24" sqref="J24"/>
    </sheetView>
  </sheetViews>
  <sheetFormatPr baseColWidth="10" defaultRowHeight="16" x14ac:dyDescent="0.2"/>
  <cols>
    <col min="1" max="1" width="15.33203125" customWidth="1"/>
    <col min="2" max="11" width="8.6640625" bestFit="1" customWidth="1"/>
  </cols>
  <sheetData>
    <row r="3" spans="1:13" x14ac:dyDescent="0.2">
      <c r="A3" s="46" t="s">
        <v>46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3" ht="17" x14ac:dyDescent="0.2">
      <c r="A4" s="8" t="s">
        <v>10</v>
      </c>
      <c r="B4" s="18">
        <v>1</v>
      </c>
      <c r="C4" s="18">
        <f>B4+1</f>
        <v>2</v>
      </c>
      <c r="D4" s="18">
        <f t="shared" ref="D4:K4" si="0">C4+1</f>
        <v>3</v>
      </c>
      <c r="E4" s="18">
        <f t="shared" si="0"/>
        <v>4</v>
      </c>
      <c r="F4" s="18">
        <f t="shared" si="0"/>
        <v>5</v>
      </c>
      <c r="G4" s="18">
        <f t="shared" si="0"/>
        <v>6</v>
      </c>
      <c r="H4" s="18">
        <f t="shared" si="0"/>
        <v>7</v>
      </c>
      <c r="I4" s="18">
        <f t="shared" si="0"/>
        <v>8</v>
      </c>
      <c r="J4" s="18">
        <f t="shared" si="0"/>
        <v>9</v>
      </c>
      <c r="K4" s="18">
        <f t="shared" si="0"/>
        <v>10</v>
      </c>
    </row>
    <row r="5" spans="1:13" ht="17" x14ac:dyDescent="0.2">
      <c r="A5" s="8" t="s">
        <v>28</v>
      </c>
      <c r="B5" s="10">
        <v>750000</v>
      </c>
      <c r="C5" s="10">
        <f>B5*1.03</f>
        <v>772500</v>
      </c>
      <c r="D5" s="10">
        <f t="shared" ref="D5:K5" si="1">C5*1.03</f>
        <v>795675</v>
      </c>
      <c r="E5" s="10">
        <f t="shared" si="1"/>
        <v>819545.25</v>
      </c>
      <c r="F5" s="10">
        <f t="shared" si="1"/>
        <v>844131.60750000004</v>
      </c>
      <c r="G5" s="10">
        <f t="shared" si="1"/>
        <v>869455.5557250001</v>
      </c>
      <c r="H5" s="10">
        <f t="shared" si="1"/>
        <v>895539.22239675012</v>
      </c>
      <c r="I5" s="10">
        <f t="shared" si="1"/>
        <v>922405.39906865265</v>
      </c>
      <c r="J5" s="10">
        <f t="shared" si="1"/>
        <v>950077.56104071229</v>
      </c>
      <c r="K5" s="10">
        <f t="shared" si="1"/>
        <v>978579.88787193364</v>
      </c>
      <c r="L5" s="3">
        <f>K5/B5-1</f>
        <v>0.3047731838292449</v>
      </c>
      <c r="M5" s="1">
        <f>K5-B5</f>
        <v>228579.88787193364</v>
      </c>
    </row>
  </sheetData>
  <mergeCells count="1">
    <mergeCell ref="A3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DCDB7-0BB3-B44C-95B0-E7B800B812D2}">
  <dimension ref="A1:N19"/>
  <sheetViews>
    <sheetView workbookViewId="0">
      <selection activeCell="O12" sqref="O12"/>
    </sheetView>
  </sheetViews>
  <sheetFormatPr baseColWidth="10" defaultRowHeight="16" x14ac:dyDescent="0.2"/>
  <cols>
    <col min="1" max="1" width="15.1640625" customWidth="1"/>
    <col min="2" max="11" width="8.6640625" bestFit="1" customWidth="1"/>
    <col min="12" max="13" width="11" bestFit="1" customWidth="1"/>
  </cols>
  <sheetData>
    <row r="1" spans="1:14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x14ac:dyDescent="0.2">
      <c r="A2" s="46" t="s">
        <v>47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"/>
      <c r="M2" s="4"/>
      <c r="N2" s="4"/>
    </row>
    <row r="3" spans="1:14" ht="17" x14ac:dyDescent="0.2">
      <c r="A3" s="8" t="s">
        <v>10</v>
      </c>
      <c r="B3" s="18">
        <v>1</v>
      </c>
      <c r="C3" s="18">
        <f>B3+1</f>
        <v>2</v>
      </c>
      <c r="D3" s="18">
        <f t="shared" ref="D3:K3" si="0">C3+1</f>
        <v>3</v>
      </c>
      <c r="E3" s="18">
        <f t="shared" si="0"/>
        <v>4</v>
      </c>
      <c r="F3" s="18">
        <f t="shared" si="0"/>
        <v>5</v>
      </c>
      <c r="G3" s="18">
        <f t="shared" si="0"/>
        <v>6</v>
      </c>
      <c r="H3" s="18">
        <f t="shared" si="0"/>
        <v>7</v>
      </c>
      <c r="I3" s="18">
        <f t="shared" si="0"/>
        <v>8</v>
      </c>
      <c r="J3" s="18">
        <f t="shared" si="0"/>
        <v>9</v>
      </c>
      <c r="K3" s="18">
        <f t="shared" si="0"/>
        <v>10</v>
      </c>
      <c r="L3" s="4"/>
      <c r="M3" s="4"/>
      <c r="N3" s="4"/>
    </row>
    <row r="4" spans="1:14" ht="17" x14ac:dyDescent="0.2">
      <c r="A4" s="8" t="s">
        <v>29</v>
      </c>
      <c r="B4" s="14">
        <v>100000</v>
      </c>
      <c r="C4" s="14">
        <f>C5*C6</f>
        <v>107730</v>
      </c>
      <c r="D4" s="14">
        <f t="shared" ref="D4:K4" si="1">D5*D6</f>
        <v>116057.52899999999</v>
      </c>
      <c r="E4" s="14">
        <f t="shared" si="1"/>
        <v>125028.77599170001</v>
      </c>
      <c r="F4" s="14">
        <f t="shared" si="1"/>
        <v>134693.50037585842</v>
      </c>
      <c r="G4" s="14">
        <f t="shared" si="1"/>
        <v>145105.30795491231</v>
      </c>
      <c r="H4" s="14">
        <f t="shared" si="1"/>
        <v>156321.94825982707</v>
      </c>
      <c r="I4" s="14">
        <f t="shared" si="1"/>
        <v>168405.63486031169</v>
      </c>
      <c r="J4" s="14">
        <f t="shared" si="1"/>
        <v>181423.39043501377</v>
      </c>
      <c r="K4" s="14">
        <f t="shared" si="1"/>
        <v>195447.41851564034</v>
      </c>
      <c r="L4" s="39">
        <f>K4/B4-1</f>
        <v>0.95447418515640337</v>
      </c>
      <c r="M4" s="33">
        <f>K4-B4</f>
        <v>95447.41851564034</v>
      </c>
      <c r="N4" s="4"/>
    </row>
    <row r="5" spans="1:14" ht="17" x14ac:dyDescent="0.2">
      <c r="A5" s="8" t="s">
        <v>30</v>
      </c>
      <c r="B5" s="14">
        <v>1200</v>
      </c>
      <c r="C5" s="14">
        <f>B5*(1.05)</f>
        <v>1260</v>
      </c>
      <c r="D5" s="14">
        <f t="shared" ref="D5:K5" si="2">C5*(1.05)</f>
        <v>1323</v>
      </c>
      <c r="E5" s="14">
        <f t="shared" si="2"/>
        <v>1389.15</v>
      </c>
      <c r="F5" s="14">
        <f t="shared" si="2"/>
        <v>1458.6075000000001</v>
      </c>
      <c r="G5" s="14">
        <f t="shared" si="2"/>
        <v>1531.5378750000002</v>
      </c>
      <c r="H5" s="14">
        <f t="shared" si="2"/>
        <v>1608.1147687500004</v>
      </c>
      <c r="I5" s="14">
        <f t="shared" si="2"/>
        <v>1688.5205071875005</v>
      </c>
      <c r="J5" s="14">
        <f t="shared" si="2"/>
        <v>1772.9465325468755</v>
      </c>
      <c r="K5" s="14">
        <f t="shared" si="2"/>
        <v>1861.5938591742192</v>
      </c>
      <c r="L5" s="39">
        <f>K5/B5-1</f>
        <v>0.551328215978516</v>
      </c>
      <c r="M5" s="33">
        <f>K5-B5</f>
        <v>661.59385917421923</v>
      </c>
      <c r="N5" s="4"/>
    </row>
    <row r="6" spans="1:14" ht="17" x14ac:dyDescent="0.2">
      <c r="A6" s="8" t="s">
        <v>31</v>
      </c>
      <c r="B6" s="27">
        <f>B4/B5</f>
        <v>83.333333333333329</v>
      </c>
      <c r="C6" s="27">
        <f>B6*(1.026)</f>
        <v>85.5</v>
      </c>
      <c r="D6" s="27">
        <f t="shared" ref="D6:K6" si="3">C6*(1.026)</f>
        <v>87.722999999999999</v>
      </c>
      <c r="E6" s="27">
        <f t="shared" si="3"/>
        <v>90.003798000000003</v>
      </c>
      <c r="F6" s="27">
        <f t="shared" si="3"/>
        <v>92.343896748000006</v>
      </c>
      <c r="G6" s="27">
        <f t="shared" si="3"/>
        <v>94.744838063448015</v>
      </c>
      <c r="H6" s="27">
        <f t="shared" si="3"/>
        <v>97.208203853097672</v>
      </c>
      <c r="I6" s="27">
        <f t="shared" si="3"/>
        <v>99.735617153278213</v>
      </c>
      <c r="J6" s="27">
        <f t="shared" si="3"/>
        <v>102.32874319926344</v>
      </c>
      <c r="K6" s="27">
        <f t="shared" si="3"/>
        <v>104.98929052244429</v>
      </c>
      <c r="L6" s="39">
        <f>K6/B6-1</f>
        <v>0.25987148626933165</v>
      </c>
      <c r="M6" s="40">
        <f>K6-B6</f>
        <v>21.655957189110964</v>
      </c>
      <c r="N6" s="4"/>
    </row>
    <row r="7" spans="1:14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6"/>
      <c r="N7" s="4"/>
    </row>
    <row r="8" spans="1:14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6"/>
      <c r="N8" s="4"/>
    </row>
    <row r="9" spans="1:14" x14ac:dyDescent="0.2">
      <c r="A9" s="50" t="s">
        <v>48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4"/>
      <c r="M9" s="6"/>
      <c r="N9" s="4"/>
    </row>
    <row r="10" spans="1:14" ht="17" x14ac:dyDescent="0.2">
      <c r="A10" s="8" t="s">
        <v>10</v>
      </c>
      <c r="B10" s="18">
        <v>1</v>
      </c>
      <c r="C10" s="18">
        <f>B10+1</f>
        <v>2</v>
      </c>
      <c r="D10" s="18">
        <f t="shared" ref="D10:K10" si="4">C10+1</f>
        <v>3</v>
      </c>
      <c r="E10" s="18">
        <f t="shared" si="4"/>
        <v>4</v>
      </c>
      <c r="F10" s="18">
        <f t="shared" si="4"/>
        <v>5</v>
      </c>
      <c r="G10" s="18">
        <f t="shared" si="4"/>
        <v>6</v>
      </c>
      <c r="H10" s="18">
        <f t="shared" si="4"/>
        <v>7</v>
      </c>
      <c r="I10" s="18">
        <f t="shared" si="4"/>
        <v>8</v>
      </c>
      <c r="J10" s="18">
        <f t="shared" si="4"/>
        <v>9</v>
      </c>
      <c r="K10" s="18">
        <f t="shared" si="4"/>
        <v>10</v>
      </c>
      <c r="L10" s="4"/>
      <c r="M10" s="6"/>
      <c r="N10" s="4"/>
    </row>
    <row r="11" spans="1:14" ht="17" x14ac:dyDescent="0.2">
      <c r="A11" s="8" t="s">
        <v>32</v>
      </c>
      <c r="B11" s="14">
        <v>150000</v>
      </c>
      <c r="C11" s="14">
        <f>B11+C12</f>
        <v>187500</v>
      </c>
      <c r="D11" s="14">
        <f t="shared" ref="D11:E11" si="5">C11+D12</f>
        <v>225000</v>
      </c>
      <c r="E11" s="14">
        <f t="shared" si="5"/>
        <v>262500</v>
      </c>
      <c r="F11" s="14">
        <v>300000</v>
      </c>
      <c r="G11" s="14">
        <f>F11+G12</f>
        <v>360000</v>
      </c>
      <c r="H11" s="14">
        <f t="shared" ref="H11:J11" si="6">G11+H12</f>
        <v>420000</v>
      </c>
      <c r="I11" s="14">
        <f t="shared" si="6"/>
        <v>480000</v>
      </c>
      <c r="J11" s="14">
        <f t="shared" si="6"/>
        <v>540000</v>
      </c>
      <c r="K11" s="14">
        <v>600000</v>
      </c>
      <c r="L11" s="15">
        <f>K11/B11-1</f>
        <v>3</v>
      </c>
      <c r="M11" s="33">
        <f>K11-B11</f>
        <v>450000</v>
      </c>
      <c r="N11" s="4"/>
    </row>
    <row r="12" spans="1:14" ht="17" x14ac:dyDescent="0.2">
      <c r="A12" s="32" t="s">
        <v>33</v>
      </c>
      <c r="B12" s="33"/>
      <c r="C12" s="33">
        <f>(F11-B11)/4</f>
        <v>37500</v>
      </c>
      <c r="D12" s="33">
        <f>C12</f>
        <v>37500</v>
      </c>
      <c r="E12" s="33">
        <f>D12</f>
        <v>37500</v>
      </c>
      <c r="F12" s="33"/>
      <c r="G12" s="33">
        <f>(K11-F11)/5</f>
        <v>60000</v>
      </c>
      <c r="H12" s="33">
        <f>G12</f>
        <v>60000</v>
      </c>
      <c r="I12" s="33">
        <f t="shared" ref="I12:K12" si="7">H12</f>
        <v>60000</v>
      </c>
      <c r="J12" s="33">
        <f t="shared" si="7"/>
        <v>60000</v>
      </c>
      <c r="K12" s="33">
        <f t="shared" si="7"/>
        <v>60000</v>
      </c>
      <c r="L12" s="15" t="e">
        <f>K12/B12-1</f>
        <v>#DIV/0!</v>
      </c>
      <c r="M12" s="33">
        <f>K12-B12</f>
        <v>60000</v>
      </c>
      <c r="N12" s="4"/>
    </row>
    <row r="13" spans="1:14" x14ac:dyDescent="0.2">
      <c r="A13" s="32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15" t="e">
        <f>K13/B13-1</f>
        <v>#DIV/0!</v>
      </c>
      <c r="M13" s="40">
        <f>K13-B13</f>
        <v>0</v>
      </c>
      <c r="N13" s="4"/>
    </row>
    <row r="14" spans="1:14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4"/>
      <c r="M14" s="4"/>
      <c r="N14" s="4"/>
    </row>
    <row r="15" spans="1:14" ht="17" x14ac:dyDescent="0.2">
      <c r="A15" s="28" t="s">
        <v>49</v>
      </c>
      <c r="B15" s="16">
        <f>B11+B4</f>
        <v>250000</v>
      </c>
      <c r="C15" s="16">
        <f t="shared" ref="C15:K15" si="8">C11+C4</f>
        <v>295230</v>
      </c>
      <c r="D15" s="16">
        <f t="shared" si="8"/>
        <v>341057.52899999998</v>
      </c>
      <c r="E15" s="16">
        <f t="shared" si="8"/>
        <v>387528.77599170001</v>
      </c>
      <c r="F15" s="16">
        <f t="shared" si="8"/>
        <v>434693.50037585839</v>
      </c>
      <c r="G15" s="16">
        <f t="shared" si="8"/>
        <v>505105.30795491231</v>
      </c>
      <c r="H15" s="16">
        <f t="shared" si="8"/>
        <v>576321.9482598271</v>
      </c>
      <c r="I15" s="16">
        <f t="shared" si="8"/>
        <v>648405.63486031163</v>
      </c>
      <c r="J15" s="16">
        <f t="shared" si="8"/>
        <v>721423.3904350138</v>
      </c>
      <c r="K15" s="16">
        <f t="shared" si="8"/>
        <v>795447.41851564031</v>
      </c>
      <c r="L15" s="39">
        <f>K15/B15-1</f>
        <v>2.1817896740625611</v>
      </c>
      <c r="M15" s="33">
        <f>K15-B15</f>
        <v>545447.41851564031</v>
      </c>
      <c r="N15" s="4"/>
    </row>
    <row r="16" spans="1:14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</row>
  </sheetData>
  <mergeCells count="2">
    <mergeCell ref="A2:K2"/>
    <mergeCell ref="A9:K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626DC-DEB0-F944-8D04-BE9AAA8ADD61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Introduction</vt:lpstr>
      <vt:lpstr>4.0 Budget</vt:lpstr>
      <vt:lpstr>4.1 DDA</vt:lpstr>
      <vt:lpstr>4.2 Article Purchasing</vt:lpstr>
      <vt:lpstr>4.3 OA</vt:lpstr>
      <vt:lpstr>4.4 Web</vt:lpstr>
      <vt:lpstr>4.5 Invest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2020-12-12T20:35:16Z</dcterms:created>
  <dcterms:modified xsi:type="dcterms:W3CDTF">2021-01-11T20:05:43Z</dcterms:modified>
</cp:coreProperties>
</file>